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filterPrivacy="1" codeName="ThisWorkbook" defaultThemeVersion="124226"/>
  <bookViews>
    <workbookView xWindow="-120" yWindow="-120" windowWidth="20730" windowHeight="11160" firstSheet="4" activeTab="4"/>
  </bookViews>
  <sheets>
    <sheet name="PL1 (3)" sheetId="9" state="hidden" r:id="rId1"/>
    <sheet name="PL1" sheetId="2" state="hidden" r:id="rId2"/>
    <sheet name="PL2" sheetId="7" state="hidden" r:id="rId3"/>
    <sheet name="TH" sheetId="11" state="hidden" r:id="rId4"/>
    <sheet name="Phụ lục 1" sheetId="10" r:id="rId5"/>
    <sheet name="Phụ lục 2" sheetId="15" r:id="rId6"/>
    <sheet name="Phụ lục 3" sheetId="13" r:id="rId7"/>
    <sheet name="Phụ lục 4" sheetId="14" r:id="rId8"/>
  </sheets>
  <externalReferences>
    <externalReference r:id="rId9"/>
    <externalReference r:id="rId10"/>
  </externalReferences>
  <definedNames>
    <definedName name="_xlnm._FilterDatabase" localSheetId="1" hidden="1">'PL1'!$A$10:$IW$361</definedName>
    <definedName name="_xlnm._FilterDatabase" localSheetId="0" hidden="1">'PL1 (3)'!$A$10:$IW$361</definedName>
    <definedName name="_xlnm._FilterDatabase" localSheetId="2" hidden="1">'PL2'!#REF!</definedName>
    <definedName name="_xlnm._FilterDatabase" localSheetId="4" hidden="1">'Phụ lục 1'!$A$24:$V$40</definedName>
    <definedName name="_xlnm._FilterDatabase" localSheetId="5" hidden="1">'Phụ lục 2'!$11:$90</definedName>
    <definedName name="_xlnm._FilterDatabase" localSheetId="6" hidden="1">'Phụ lục 3'!$11:$50</definedName>
    <definedName name="_xlnm._FilterDatabase" localSheetId="7" hidden="1">'Phụ lục 4'!$11:$17</definedName>
    <definedName name="OLE_LINK6" localSheetId="4">'Phụ lục 1'!#REF!</definedName>
    <definedName name="_xlnm.Print_Area" localSheetId="1">'PL1'!$A$1:$O$368</definedName>
    <definedName name="_xlnm.Print_Area" localSheetId="0">'PL1 (3)'!$A$1:$O$368</definedName>
    <definedName name="_xlnm.Print_Area" localSheetId="2">'PL2'!$A$1:$V$42</definedName>
    <definedName name="_xlnm.Print_Area" localSheetId="4">'Phụ lục 1'!$A$1:$S$45</definedName>
    <definedName name="_xlnm.Print_Area" localSheetId="5">'Phụ lục 2'!$A$1:$AA$92</definedName>
    <definedName name="_xlnm.Print_Area" localSheetId="6">'Phụ lục 3'!$A$1:$Q$62</definedName>
    <definedName name="_xlnm.Print_Area" localSheetId="7">'Phụ lục 4'!$A$1:$Q$19</definedName>
    <definedName name="_xlnm.Print_Titles" localSheetId="1">'PL1'!$7:$10</definedName>
    <definedName name="_xlnm.Print_Titles" localSheetId="0">'PL1 (3)'!$7:$10</definedName>
    <definedName name="_xlnm.Print_Titles" localSheetId="2">'PL2'!$7:$10</definedName>
    <definedName name="_xlnm.Print_Titles" localSheetId="4">'Phụ lục 1'!$7:$11</definedName>
    <definedName name="_xlnm.Print_Titles" localSheetId="5">'Phụ lục 2'!$6:$10</definedName>
    <definedName name="_xlnm.Print_Titles" localSheetId="6">'Phụ lục 3'!$6:$10</definedName>
    <definedName name="_xlnm.Print_Titles" localSheetId="7">'Phụ lục 4'!$6:$10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90" i="15" l="1"/>
  <c r="S90" i="15"/>
  <c r="Q90" i="15"/>
  <c r="P90" i="15"/>
  <c r="J90" i="15"/>
  <c r="Z89" i="15"/>
  <c r="S89" i="15"/>
  <c r="Q89" i="15"/>
  <c r="P89" i="15" s="1"/>
  <c r="Z88" i="15"/>
  <c r="S88" i="15"/>
  <c r="Q88" i="15"/>
  <c r="P88" i="15" s="1"/>
  <c r="Z87" i="15"/>
  <c r="S87" i="15"/>
  <c r="Q87" i="15"/>
  <c r="P87" i="15" s="1"/>
  <c r="Z86" i="15"/>
  <c r="S86" i="15"/>
  <c r="Q86" i="15"/>
  <c r="P86" i="15" s="1"/>
  <c r="Z85" i="15"/>
  <c r="S85" i="15"/>
  <c r="Q85" i="15"/>
  <c r="P85" i="15" s="1"/>
  <c r="Z84" i="15"/>
  <c r="S84" i="15"/>
  <c r="Q84" i="15"/>
  <c r="P84" i="15" s="1"/>
  <c r="Z83" i="15"/>
  <c r="S83" i="15"/>
  <c r="Q83" i="15"/>
  <c r="P83" i="15" s="1"/>
  <c r="H83" i="15"/>
  <c r="Z82" i="15"/>
  <c r="S82" i="15"/>
  <c r="S67" i="15" s="1"/>
  <c r="Q82" i="15"/>
  <c r="P82" i="15" s="1"/>
  <c r="H82" i="15"/>
  <c r="Z81" i="15"/>
  <c r="S81" i="15"/>
  <c r="Q81" i="15"/>
  <c r="P81" i="15"/>
  <c r="Z80" i="15"/>
  <c r="Q80" i="15"/>
  <c r="P80" i="15" s="1"/>
  <c r="H80" i="15"/>
  <c r="Z79" i="15"/>
  <c r="Q79" i="15"/>
  <c r="P79" i="15" s="1"/>
  <c r="Z78" i="15"/>
  <c r="Q78" i="15"/>
  <c r="P78" i="15" s="1"/>
  <c r="Z77" i="15"/>
  <c r="P77" i="15"/>
  <c r="Z76" i="15"/>
  <c r="P76" i="15"/>
  <c r="Z75" i="15"/>
  <c r="Q75" i="15"/>
  <c r="P75" i="15"/>
  <c r="Z74" i="15"/>
  <c r="Q74" i="15"/>
  <c r="P74" i="15"/>
  <c r="Z73" i="15"/>
  <c r="P73" i="15"/>
  <c r="Z72" i="15"/>
  <c r="Q72" i="15"/>
  <c r="P72" i="15"/>
  <c r="Z71" i="15"/>
  <c r="Q71" i="15"/>
  <c r="P71" i="15"/>
  <c r="Z70" i="15"/>
  <c r="Q70" i="15"/>
  <c r="P70" i="15" s="1"/>
  <c r="W69" i="15"/>
  <c r="W67" i="15" s="1"/>
  <c r="Q69" i="15"/>
  <c r="P69" i="15" s="1"/>
  <c r="Z68" i="15"/>
  <c r="U68" i="15"/>
  <c r="Q68" i="15"/>
  <c r="P68" i="15" s="1"/>
  <c r="Y67" i="15"/>
  <c r="X67" i="15"/>
  <c r="V67" i="15"/>
  <c r="U67" i="15"/>
  <c r="T67" i="15"/>
  <c r="R67" i="15"/>
  <c r="O67" i="15"/>
  <c r="N67" i="15"/>
  <c r="M67" i="15"/>
  <c r="L67" i="15"/>
  <c r="K67" i="15"/>
  <c r="J67" i="15"/>
  <c r="I67" i="15"/>
  <c r="H67" i="15"/>
  <c r="Z66" i="15"/>
  <c r="Z65" i="15"/>
  <c r="Q65" i="15"/>
  <c r="P65" i="15" s="1"/>
  <c r="Z64" i="15"/>
  <c r="Z63" i="15"/>
  <c r="Q63" i="15"/>
  <c r="P63" i="15" s="1"/>
  <c r="W62" i="15"/>
  <c r="Z62" i="15" s="1"/>
  <c r="Q62" i="15"/>
  <c r="P62" i="15" s="1"/>
  <c r="W61" i="15"/>
  <c r="Z61" i="15" s="1"/>
  <c r="Z60" i="15"/>
  <c r="W60" i="15"/>
  <c r="W59" i="15"/>
  <c r="Z59" i="15" s="1"/>
  <c r="Q59" i="15"/>
  <c r="P59" i="15" s="1"/>
  <c r="Y58" i="15"/>
  <c r="X58" i="15"/>
  <c r="X39" i="15" s="1"/>
  <c r="W58" i="15"/>
  <c r="V58" i="15"/>
  <c r="U58" i="15"/>
  <c r="T58" i="15"/>
  <c r="T39" i="15" s="1"/>
  <c r="T12" i="15" s="1"/>
  <c r="S58" i="15"/>
  <c r="R58" i="15"/>
  <c r="O58" i="15"/>
  <c r="N58" i="15"/>
  <c r="M58" i="15"/>
  <c r="L58" i="15"/>
  <c r="K58" i="15"/>
  <c r="J58" i="15"/>
  <c r="I58" i="15"/>
  <c r="H58" i="15"/>
  <c r="Z57" i="15"/>
  <c r="W57" i="15"/>
  <c r="V57" i="15"/>
  <c r="Q57" i="15"/>
  <c r="P57" i="15" s="1"/>
  <c r="H57" i="15"/>
  <c r="W56" i="15"/>
  <c r="Z56" i="15" s="1"/>
  <c r="V56" i="15"/>
  <c r="Q56" i="15"/>
  <c r="P56" i="15" s="1"/>
  <c r="Z55" i="15"/>
  <c r="V55" i="15"/>
  <c r="Q55" i="15"/>
  <c r="P55" i="15" s="1"/>
  <c r="H55" i="15"/>
  <c r="Z54" i="15"/>
  <c r="V54" i="15"/>
  <c r="Q54" i="15"/>
  <c r="P54" i="15"/>
  <c r="Z53" i="15"/>
  <c r="W53" i="15"/>
  <c r="V53" i="15"/>
  <c r="Q53" i="15"/>
  <c r="P53" i="15" s="1"/>
  <c r="H53" i="15"/>
  <c r="H46" i="15" s="1"/>
  <c r="H39" i="15" s="1"/>
  <c r="H12" i="15" s="1"/>
  <c r="W52" i="15"/>
  <c r="Z52" i="15" s="1"/>
  <c r="V52" i="15"/>
  <c r="Q52" i="15"/>
  <c r="P52" i="15" s="1"/>
  <c r="Z51" i="15"/>
  <c r="W51" i="15"/>
  <c r="V51" i="15"/>
  <c r="Q51" i="15"/>
  <c r="P51" i="15"/>
  <c r="Z50" i="15"/>
  <c r="W50" i="15"/>
  <c r="V50" i="15"/>
  <c r="Q50" i="15"/>
  <c r="P50" i="15" s="1"/>
  <c r="Z49" i="15"/>
  <c r="W49" i="15"/>
  <c r="V49" i="15"/>
  <c r="V46" i="15" s="1"/>
  <c r="V39" i="15" s="1"/>
  <c r="Q49" i="15"/>
  <c r="P49" i="15" s="1"/>
  <c r="W48" i="15"/>
  <c r="Z48" i="15" s="1"/>
  <c r="V48" i="15"/>
  <c r="P48" i="15"/>
  <c r="W47" i="15"/>
  <c r="Z47" i="15" s="1"/>
  <c r="V47" i="15"/>
  <c r="Q47" i="15"/>
  <c r="P47" i="15" s="1"/>
  <c r="P46" i="15" s="1"/>
  <c r="AB46" i="15" s="1"/>
  <c r="Y46" i="15"/>
  <c r="X46" i="15"/>
  <c r="W46" i="15"/>
  <c r="U46" i="15"/>
  <c r="T46" i="15"/>
  <c r="S46" i="15"/>
  <c r="R46" i="15"/>
  <c r="O46" i="15"/>
  <c r="N46" i="15"/>
  <c r="M46" i="15"/>
  <c r="L46" i="15"/>
  <c r="K46" i="15"/>
  <c r="J46" i="15"/>
  <c r="I46" i="15"/>
  <c r="Z45" i="15"/>
  <c r="V45" i="15"/>
  <c r="Q45" i="15"/>
  <c r="P45" i="15" s="1"/>
  <c r="Z44" i="15"/>
  <c r="W44" i="15"/>
  <c r="Q44" i="15"/>
  <c r="P44" i="15" s="1"/>
  <c r="Z43" i="15"/>
  <c r="W43" i="15"/>
  <c r="Q43" i="15"/>
  <c r="P43" i="15" s="1"/>
  <c r="Z42" i="15"/>
  <c r="W42" i="15"/>
  <c r="Q42" i="15"/>
  <c r="P42" i="15" s="1"/>
  <c r="A42" i="15"/>
  <c r="W41" i="15"/>
  <c r="Z41" i="15" s="1"/>
  <c r="Z40" i="15" s="1"/>
  <c r="V41" i="15"/>
  <c r="Q41" i="15"/>
  <c r="P41" i="15" s="1"/>
  <c r="L41" i="15"/>
  <c r="L40" i="15" s="1"/>
  <c r="L39" i="15" s="1"/>
  <c r="L12" i="15" s="1"/>
  <c r="J41" i="15"/>
  <c r="A41" i="15"/>
  <c r="Y40" i="15"/>
  <c r="Y39" i="15" s="1"/>
  <c r="Y12" i="15" s="1"/>
  <c r="X40" i="15"/>
  <c r="W40" i="15"/>
  <c r="W39" i="15" s="1"/>
  <c r="V40" i="15"/>
  <c r="U40" i="15"/>
  <c r="U39" i="15" s="1"/>
  <c r="U12" i="15" s="1"/>
  <c r="T40" i="15"/>
  <c r="S40" i="15"/>
  <c r="S39" i="15" s="1"/>
  <c r="S12" i="15" s="1"/>
  <c r="R40" i="15"/>
  <c r="O40" i="15"/>
  <c r="O39" i="15" s="1"/>
  <c r="O12" i="15" s="1"/>
  <c r="N40" i="15"/>
  <c r="M40" i="15"/>
  <c r="M39" i="15" s="1"/>
  <c r="M12" i="15" s="1"/>
  <c r="K40" i="15"/>
  <c r="K39" i="15" s="1"/>
  <c r="K12" i="15" s="1"/>
  <c r="J40" i="15"/>
  <c r="I40" i="15"/>
  <c r="I39" i="15" s="1"/>
  <c r="I12" i="15" s="1"/>
  <c r="H40" i="15"/>
  <c r="R39" i="15"/>
  <c r="R12" i="15" s="1"/>
  <c r="N39" i="15"/>
  <c r="N12" i="15" s="1"/>
  <c r="J39" i="15"/>
  <c r="Q38" i="15"/>
  <c r="P38" i="15" s="1"/>
  <c r="M38" i="15"/>
  <c r="Z38" i="15" s="1"/>
  <c r="J38" i="15"/>
  <c r="Z37" i="15"/>
  <c r="W37" i="15"/>
  <c r="Q37" i="15"/>
  <c r="P37" i="15" s="1"/>
  <c r="J37" i="15"/>
  <c r="X36" i="15"/>
  <c r="X30" i="15" s="1"/>
  <c r="X12" i="15" s="1"/>
  <c r="V36" i="15"/>
  <c r="Q36" i="15"/>
  <c r="P36" i="15"/>
  <c r="M36" i="15"/>
  <c r="J36" i="15"/>
  <c r="J30" i="15" s="1"/>
  <c r="W35" i="15"/>
  <c r="Q35" i="15"/>
  <c r="P35" i="15" s="1"/>
  <c r="O35" i="15"/>
  <c r="Z35" i="15" s="1"/>
  <c r="W34" i="15"/>
  <c r="V34" i="15"/>
  <c r="Q34" i="15"/>
  <c r="P34" i="15" s="1"/>
  <c r="Z33" i="15"/>
  <c r="W33" i="15"/>
  <c r="V33" i="15"/>
  <c r="Q33" i="15"/>
  <c r="P33" i="15"/>
  <c r="Z32" i="15"/>
  <c r="Q32" i="15"/>
  <c r="P32" i="15" s="1"/>
  <c r="Z31" i="15"/>
  <c r="Q31" i="15"/>
  <c r="P31" i="15"/>
  <c r="P30" i="15" s="1"/>
  <c r="Y30" i="15"/>
  <c r="U30" i="15"/>
  <c r="T30" i="15"/>
  <c r="S30" i="15"/>
  <c r="R30" i="15"/>
  <c r="O30" i="15"/>
  <c r="N30" i="15"/>
  <c r="M30" i="15"/>
  <c r="L30" i="15"/>
  <c r="K30" i="15"/>
  <c r="I30" i="15"/>
  <c r="H30" i="15"/>
  <c r="Z29" i="15"/>
  <c r="Q29" i="15"/>
  <c r="P29" i="15"/>
  <c r="A29" i="15"/>
  <c r="Z28" i="15"/>
  <c r="W28" i="15"/>
  <c r="Q28" i="15"/>
  <c r="P28" i="15" s="1"/>
  <c r="J28" i="15"/>
  <c r="A28" i="15"/>
  <c r="Z27" i="15"/>
  <c r="W27" i="15"/>
  <c r="Q27" i="15"/>
  <c r="P27" i="15" s="1"/>
  <c r="J27" i="15"/>
  <c r="A27" i="15"/>
  <c r="Z26" i="15"/>
  <c r="W26" i="15"/>
  <c r="Q26" i="15"/>
  <c r="P26" i="15" s="1"/>
  <c r="A26" i="15"/>
  <c r="W25" i="15"/>
  <c r="Z25" i="15" s="1"/>
  <c r="Q25" i="15"/>
  <c r="P25" i="15"/>
  <c r="A25" i="15"/>
  <c r="Z24" i="15"/>
  <c r="W24" i="15"/>
  <c r="Q24" i="15"/>
  <c r="P24" i="15" s="1"/>
  <c r="A24" i="15"/>
  <c r="W23" i="15"/>
  <c r="Z23" i="15" s="1"/>
  <c r="Q23" i="15"/>
  <c r="P23" i="15"/>
  <c r="A23" i="15"/>
  <c r="Z22" i="15"/>
  <c r="W22" i="15"/>
  <c r="Q22" i="15"/>
  <c r="P22" i="15" s="1"/>
  <c r="A22" i="15"/>
  <c r="W21" i="15"/>
  <c r="Z21" i="15" s="1"/>
  <c r="Q21" i="15"/>
  <c r="P21" i="15"/>
  <c r="A21" i="15"/>
  <c r="Z20" i="15"/>
  <c r="W20" i="15"/>
  <c r="Q20" i="15"/>
  <c r="P20" i="15" s="1"/>
  <c r="J20" i="15"/>
  <c r="A20" i="15"/>
  <c r="Z19" i="15"/>
  <c r="W19" i="15"/>
  <c r="Q19" i="15"/>
  <c r="P19" i="15" s="1"/>
  <c r="A19" i="15"/>
  <c r="W18" i="15"/>
  <c r="Z18" i="15" s="1"/>
  <c r="Q18" i="15"/>
  <c r="P18" i="15"/>
  <c r="N18" i="15"/>
  <c r="J18" i="15"/>
  <c r="J13" i="15" s="1"/>
  <c r="J12" i="15" s="1"/>
  <c r="I18" i="15"/>
  <c r="A18" i="15"/>
  <c r="W17" i="15"/>
  <c r="W13" i="15" s="1"/>
  <c r="Q17" i="15"/>
  <c r="P17" i="15"/>
  <c r="A17" i="15"/>
  <c r="Z16" i="15"/>
  <c r="W16" i="15"/>
  <c r="Q16" i="15"/>
  <c r="P16" i="15" s="1"/>
  <c r="A16" i="15"/>
  <c r="W15" i="15"/>
  <c r="Z15" i="15" s="1"/>
  <c r="Q15" i="15"/>
  <c r="P15" i="15"/>
  <c r="A15" i="15"/>
  <c r="Z14" i="15"/>
  <c r="W14" i="15"/>
  <c r="Q14" i="15"/>
  <c r="P14" i="15" s="1"/>
  <c r="A14" i="15"/>
  <c r="Y13" i="15"/>
  <c r="X13" i="15"/>
  <c r="V13" i="15"/>
  <c r="U13" i="15"/>
  <c r="T13" i="15"/>
  <c r="S13" i="15"/>
  <c r="R13" i="15"/>
  <c r="O13" i="15"/>
  <c r="N13" i="15"/>
  <c r="M13" i="15"/>
  <c r="L13" i="15"/>
  <c r="K13" i="15"/>
  <c r="I13" i="15"/>
  <c r="H13" i="15"/>
  <c r="R12" i="13"/>
  <c r="M22" i="13"/>
  <c r="M13" i="13" s="1"/>
  <c r="M37" i="13"/>
  <c r="M36" i="13"/>
  <c r="H13" i="13"/>
  <c r="I13" i="13"/>
  <c r="J13" i="13"/>
  <c r="K13" i="13"/>
  <c r="L13" i="13"/>
  <c r="N13" i="13"/>
  <c r="O13" i="13"/>
  <c r="P13" i="13"/>
  <c r="G13" i="13"/>
  <c r="N17" i="14"/>
  <c r="J17" i="14"/>
  <c r="N16" i="14"/>
  <c r="N15" i="14" s="1"/>
  <c r="N12" i="14" s="1"/>
  <c r="R12" i="14" s="1"/>
  <c r="J16" i="14"/>
  <c r="J15" i="14" s="1"/>
  <c r="J12" i="14" s="1"/>
  <c r="P15" i="14"/>
  <c r="O15" i="14"/>
  <c r="M15" i="14"/>
  <c r="L15" i="14"/>
  <c r="K15" i="14"/>
  <c r="I15" i="14"/>
  <c r="H15" i="14"/>
  <c r="N14" i="14"/>
  <c r="I14" i="14"/>
  <c r="P13" i="14"/>
  <c r="P12" i="14" s="1"/>
  <c r="O13" i="14"/>
  <c r="N13" i="14"/>
  <c r="M13" i="14"/>
  <c r="L13" i="14"/>
  <c r="L12" i="14" s="1"/>
  <c r="K13" i="14"/>
  <c r="K12" i="14" s="1"/>
  <c r="J13" i="14"/>
  <c r="I13" i="14"/>
  <c r="H13" i="14"/>
  <c r="O12" i="14"/>
  <c r="I60" i="13"/>
  <c r="I59" i="13"/>
  <c r="I58" i="13"/>
  <c r="O57" i="13"/>
  <c r="N57" i="13"/>
  <c r="M57" i="13"/>
  <c r="L57" i="13"/>
  <c r="K57" i="13"/>
  <c r="J57" i="13"/>
  <c r="H57" i="13"/>
  <c r="G57" i="13"/>
  <c r="I56" i="13"/>
  <c r="O55" i="13"/>
  <c r="N55" i="13"/>
  <c r="M55" i="13"/>
  <c r="L55" i="13"/>
  <c r="K55" i="13"/>
  <c r="J55" i="13"/>
  <c r="I55" i="13"/>
  <c r="H55" i="13"/>
  <c r="G55" i="13"/>
  <c r="I53" i="13"/>
  <c r="I52" i="13"/>
  <c r="I51" i="13"/>
  <c r="P50" i="13"/>
  <c r="I50" i="13"/>
  <c r="O49" i="13"/>
  <c r="N49" i="13"/>
  <c r="M49" i="13"/>
  <c r="L49" i="13"/>
  <c r="K49" i="13"/>
  <c r="J49" i="13"/>
  <c r="H49" i="13"/>
  <c r="G49" i="13"/>
  <c r="I48" i="13"/>
  <c r="P47" i="13"/>
  <c r="I47" i="13"/>
  <c r="P46" i="13"/>
  <c r="I46" i="13"/>
  <c r="P45" i="13"/>
  <c r="I45" i="13"/>
  <c r="P44" i="13"/>
  <c r="I44" i="13"/>
  <c r="O43" i="13"/>
  <c r="N43" i="13"/>
  <c r="M43" i="13"/>
  <c r="L43" i="13"/>
  <c r="K43" i="13"/>
  <c r="J43" i="13"/>
  <c r="H43" i="13"/>
  <c r="G43" i="13"/>
  <c r="I42" i="13"/>
  <c r="I41" i="13"/>
  <c r="O40" i="13"/>
  <c r="N40" i="13"/>
  <c r="M40" i="13"/>
  <c r="L40" i="13"/>
  <c r="K40" i="13"/>
  <c r="J40" i="13"/>
  <c r="H40" i="13"/>
  <c r="G40" i="13"/>
  <c r="P39" i="13"/>
  <c r="I39" i="13"/>
  <c r="I38" i="13" s="1"/>
  <c r="O38" i="13"/>
  <c r="N38" i="13"/>
  <c r="M38" i="13"/>
  <c r="L38" i="13"/>
  <c r="K38" i="13"/>
  <c r="J38" i="13"/>
  <c r="H38" i="13"/>
  <c r="G38" i="13"/>
  <c r="M35" i="13"/>
  <c r="M34" i="13"/>
  <c r="H34" i="13"/>
  <c r="M33" i="13"/>
  <c r="H33" i="13"/>
  <c r="M32" i="13"/>
  <c r="I32" i="13"/>
  <c r="P31" i="13"/>
  <c r="M30" i="13"/>
  <c r="M29" i="13"/>
  <c r="M28" i="13"/>
  <c r="M27" i="13"/>
  <c r="P26" i="13"/>
  <c r="M26" i="13"/>
  <c r="I26" i="13"/>
  <c r="M25" i="13"/>
  <c r="M24" i="13"/>
  <c r="M23" i="13"/>
  <c r="M21" i="13"/>
  <c r="M20" i="13"/>
  <c r="M19" i="13"/>
  <c r="M18" i="13"/>
  <c r="P17" i="13"/>
  <c r="M17" i="13"/>
  <c r="I17" i="13"/>
  <c r="P16" i="13"/>
  <c r="M16" i="13"/>
  <c r="I16" i="13"/>
  <c r="P15" i="13"/>
  <c r="M15" i="13"/>
  <c r="I15" i="13"/>
  <c r="M14" i="13"/>
  <c r="P40" i="15" l="1"/>
  <c r="Z46" i="15"/>
  <c r="Z39" i="15" s="1"/>
  <c r="P67" i="15"/>
  <c r="P13" i="15"/>
  <c r="P58" i="15"/>
  <c r="Z58" i="15"/>
  <c r="Q30" i="15"/>
  <c r="Z17" i="15"/>
  <c r="Z13" i="15" s="1"/>
  <c r="Z12" i="15" s="1"/>
  <c r="Z34" i="15"/>
  <c r="Z30" i="15" s="1"/>
  <c r="V35" i="15"/>
  <c r="V30" i="15" s="1"/>
  <c r="V12" i="15" s="1"/>
  <c r="W36" i="15"/>
  <c r="Z36" i="15" s="1"/>
  <c r="Q58" i="15"/>
  <c r="Z69" i="15"/>
  <c r="Z67" i="15" s="1"/>
  <c r="Q13" i="15"/>
  <c r="Q67" i="15"/>
  <c r="Q40" i="15"/>
  <c r="Q46" i="15"/>
  <c r="O12" i="13"/>
  <c r="I43" i="13"/>
  <c r="G12" i="13"/>
  <c r="K12" i="13"/>
  <c r="L12" i="13"/>
  <c r="I40" i="13"/>
  <c r="M12" i="13"/>
  <c r="H12" i="13"/>
  <c r="H12" i="14"/>
  <c r="N12" i="13"/>
  <c r="I49" i="13"/>
  <c r="I12" i="14"/>
  <c r="M12" i="14"/>
  <c r="I57" i="13"/>
  <c r="J12" i="13"/>
  <c r="P39" i="15" l="1"/>
  <c r="Q39" i="15"/>
  <c r="Q12" i="15" s="1"/>
  <c r="AC12" i="15" s="1"/>
  <c r="W30" i="15"/>
  <c r="W12" i="15" s="1"/>
  <c r="P12" i="15"/>
  <c r="I12" i="13"/>
  <c r="C8" i="11" l="1"/>
  <c r="P31" i="10"/>
  <c r="P36" i="10"/>
  <c r="P35" i="10"/>
  <c r="P34" i="10"/>
  <c r="M33" i="10" l="1"/>
  <c r="Q40" i="10"/>
  <c r="Q39" i="10" s="1"/>
  <c r="Q38" i="10" s="1"/>
  <c r="J33" i="10"/>
  <c r="J32" i="10" s="1"/>
  <c r="J39" i="10"/>
  <c r="J38" i="10" s="1"/>
  <c r="K29" i="10"/>
  <c r="Q30" i="10"/>
  <c r="J30" i="10"/>
  <c r="K30" i="10"/>
  <c r="L30" i="10"/>
  <c r="M30" i="10"/>
  <c r="M29" i="10"/>
  <c r="J28" i="10"/>
  <c r="J26" i="10"/>
  <c r="Q21" i="10"/>
  <c r="Q18" i="10" s="1"/>
  <c r="Q33" i="10"/>
  <c r="Q32" i="10" s="1"/>
  <c r="Q26" i="10"/>
  <c r="Q13" i="10"/>
  <c r="J18" i="10"/>
  <c r="J13" i="10"/>
  <c r="Q29" i="10" l="1"/>
  <c r="Q28" i="10" s="1"/>
  <c r="Q25" i="10" s="1"/>
  <c r="Q24" i="10" s="1"/>
  <c r="Q12" i="10" s="1"/>
  <c r="R29" i="10"/>
  <c r="J25" i="10"/>
  <c r="J24" i="10" s="1"/>
  <c r="J12" i="10" s="1"/>
  <c r="R40" i="10"/>
  <c r="R39" i="10" s="1"/>
  <c r="R38" i="10" s="1"/>
  <c r="R37" i="10"/>
  <c r="R36" i="10"/>
  <c r="R35" i="10"/>
  <c r="R34" i="10"/>
  <c r="R31" i="10"/>
  <c r="R30" i="10" s="1"/>
  <c r="R27" i="10"/>
  <c r="R26" i="10" s="1"/>
  <c r="R23" i="10"/>
  <c r="R22" i="10"/>
  <c r="R21" i="10"/>
  <c r="R20" i="10"/>
  <c r="R19" i="10"/>
  <c r="R17" i="10"/>
  <c r="R16" i="10"/>
  <c r="R14" i="10"/>
  <c r="R18" i="10" l="1"/>
  <c r="R33" i="10"/>
  <c r="R32" i="10" s="1"/>
  <c r="O13" i="10" l="1"/>
  <c r="N15" i="10"/>
  <c r="N17" i="10"/>
  <c r="O18" i="10"/>
  <c r="N20" i="10"/>
  <c r="N22" i="10"/>
  <c r="O26" i="10"/>
  <c r="N27" i="10"/>
  <c r="N26" i="10" s="1"/>
  <c r="O28" i="10"/>
  <c r="N29" i="10"/>
  <c r="N28" i="10" s="1"/>
  <c r="N30" i="10"/>
  <c r="O30" i="10"/>
  <c r="N33" i="10"/>
  <c r="N32" i="10" s="1"/>
  <c r="O33" i="10"/>
  <c r="N39" i="10"/>
  <c r="N38" i="10" s="1"/>
  <c r="O39" i="10"/>
  <c r="O38" i="10" s="1"/>
  <c r="P39" i="10"/>
  <c r="P38" i="10" s="1"/>
  <c r="P33" i="10"/>
  <c r="P32" i="10" s="1"/>
  <c r="P30" i="10"/>
  <c r="P28" i="10"/>
  <c r="P26" i="10"/>
  <c r="P18" i="10"/>
  <c r="H13" i="10"/>
  <c r="I13" i="10"/>
  <c r="L13" i="10"/>
  <c r="M13" i="10"/>
  <c r="K15" i="10"/>
  <c r="H18" i="10"/>
  <c r="I18" i="10"/>
  <c r="K18" i="10"/>
  <c r="L18" i="10"/>
  <c r="M18" i="10"/>
  <c r="I26" i="10"/>
  <c r="K26" i="10"/>
  <c r="L26" i="10"/>
  <c r="M26" i="10"/>
  <c r="H26" i="10"/>
  <c r="M28" i="10"/>
  <c r="H39" i="10"/>
  <c r="H38" i="10" s="1"/>
  <c r="I33" i="10"/>
  <c r="I32" i="10" s="1"/>
  <c r="K33" i="10"/>
  <c r="K32" i="10" s="1"/>
  <c r="L33" i="10"/>
  <c r="L32" i="10" s="1"/>
  <c r="M32" i="10"/>
  <c r="H33" i="10"/>
  <c r="H32" i="10" s="1"/>
  <c r="H28" i="10"/>
  <c r="I34" i="7"/>
  <c r="K34" i="7"/>
  <c r="L34" i="7"/>
  <c r="M34" i="7"/>
  <c r="N34" i="7"/>
  <c r="O34" i="7"/>
  <c r="P34" i="7"/>
  <c r="Q34" i="7"/>
  <c r="R34" i="7"/>
  <c r="S34" i="7"/>
  <c r="T34" i="7"/>
  <c r="U34" i="7"/>
  <c r="I13" i="7"/>
  <c r="I12" i="7" s="1"/>
  <c r="K13" i="7"/>
  <c r="K12" i="7" s="1"/>
  <c r="L13" i="7"/>
  <c r="L12" i="7" s="1"/>
  <c r="M13" i="7"/>
  <c r="N13" i="7"/>
  <c r="N12" i="7" s="1"/>
  <c r="O13" i="7"/>
  <c r="O12" i="7" s="1"/>
  <c r="P13" i="7"/>
  <c r="Q13" i="7"/>
  <c r="Q12" i="7" s="1"/>
  <c r="R13" i="7"/>
  <c r="R12" i="7"/>
  <c r="S13" i="7"/>
  <c r="T13" i="7"/>
  <c r="U13" i="7"/>
  <c r="J39" i="7"/>
  <c r="J34" i="7" s="1"/>
  <c r="J33" i="7"/>
  <c r="J25" i="7"/>
  <c r="J23" i="7"/>
  <c r="I39" i="10"/>
  <c r="I38" i="10" s="1"/>
  <c r="M39" i="10"/>
  <c r="M38" i="10" s="1"/>
  <c r="L39" i="10"/>
  <c r="L38" i="10" s="1"/>
  <c r="K39" i="10"/>
  <c r="K38" i="10" s="1"/>
  <c r="I30" i="10"/>
  <c r="H30" i="10"/>
  <c r="L28" i="10"/>
  <c r="I28" i="10"/>
  <c r="U12" i="7"/>
  <c r="M12" i="7"/>
  <c r="X359" i="9"/>
  <c r="N359" i="9"/>
  <c r="N358" i="9" s="1"/>
  <c r="N355" i="9" s="1"/>
  <c r="M358" i="9"/>
  <c r="M355" i="9" s="1"/>
  <c r="L358" i="9"/>
  <c r="L355" i="9" s="1"/>
  <c r="K358" i="9"/>
  <c r="K355" i="9" s="1"/>
  <c r="J358" i="9"/>
  <c r="J355" i="9" s="1"/>
  <c r="I358" i="9"/>
  <c r="I355" i="9" s="1"/>
  <c r="H358" i="9"/>
  <c r="H355" i="9" s="1"/>
  <c r="G358" i="9"/>
  <c r="G355" i="9" s="1"/>
  <c r="F358" i="9"/>
  <c r="F355" i="9" s="1"/>
  <c r="E358" i="9"/>
  <c r="E355" i="9" s="1"/>
  <c r="H354" i="9"/>
  <c r="H353" i="9"/>
  <c r="H352" i="9"/>
  <c r="H351" i="9"/>
  <c r="H350" i="9"/>
  <c r="H349" i="9"/>
  <c r="K348" i="9"/>
  <c r="K345" i="9" s="1"/>
  <c r="K342" i="9" s="1"/>
  <c r="H348" i="9"/>
  <c r="N347" i="9"/>
  <c r="N345" i="9" s="1"/>
  <c r="N342" i="9" s="1"/>
  <c r="H347" i="9"/>
  <c r="H346" i="9"/>
  <c r="M345" i="9"/>
  <c r="M342" i="9" s="1"/>
  <c r="L345" i="9"/>
  <c r="L342" i="9" s="1"/>
  <c r="J345" i="9"/>
  <c r="J342" i="9" s="1"/>
  <c r="I345" i="9"/>
  <c r="I342" i="9" s="1"/>
  <c r="G345" i="9"/>
  <c r="G342" i="9" s="1"/>
  <c r="F345" i="9"/>
  <c r="F342" i="9" s="1"/>
  <c r="E345" i="9"/>
  <c r="E342" i="9" s="1"/>
  <c r="L341" i="9"/>
  <c r="H341" i="9"/>
  <c r="L340" i="9"/>
  <c r="H340" i="9"/>
  <c r="N339" i="9"/>
  <c r="N336" i="9" s="1"/>
  <c r="M339" i="9"/>
  <c r="M336" i="9" s="1"/>
  <c r="K339" i="9"/>
  <c r="K336" i="9" s="1"/>
  <c r="J339" i="9"/>
  <c r="J336" i="9" s="1"/>
  <c r="I339" i="9"/>
  <c r="I336" i="9" s="1"/>
  <c r="G339" i="9"/>
  <c r="G336" i="9" s="1"/>
  <c r="F339" i="9"/>
  <c r="F336" i="9" s="1"/>
  <c r="E339" i="9"/>
  <c r="E336" i="9" s="1"/>
  <c r="N328" i="9"/>
  <c r="N306" i="9" s="1"/>
  <c r="N303" i="9" s="1"/>
  <c r="M328" i="9"/>
  <c r="M306" i="9" s="1"/>
  <c r="M303" i="9" s="1"/>
  <c r="L328" i="9"/>
  <c r="L306" i="9" s="1"/>
  <c r="L303" i="9" s="1"/>
  <c r="J328" i="9"/>
  <c r="G328" i="9"/>
  <c r="H328" i="9" s="1"/>
  <c r="K327" i="9"/>
  <c r="H327" i="9"/>
  <c r="H326" i="9"/>
  <c r="H325" i="9"/>
  <c r="H324" i="9"/>
  <c r="K323" i="9"/>
  <c r="H323" i="9"/>
  <c r="K322" i="9"/>
  <c r="H322" i="9"/>
  <c r="H321" i="9"/>
  <c r="H320" i="9"/>
  <c r="H319" i="9"/>
  <c r="Q318" i="9"/>
  <c r="H318" i="9"/>
  <c r="H317" i="9"/>
  <c r="H316" i="9"/>
  <c r="I315" i="9"/>
  <c r="H315" i="9"/>
  <c r="H314" i="9"/>
  <c r="I313" i="9"/>
  <c r="H313" i="9"/>
  <c r="H312" i="9"/>
  <c r="H311" i="9"/>
  <c r="H310" i="9"/>
  <c r="H309" i="9"/>
  <c r="H308" i="9"/>
  <c r="H307" i="9"/>
  <c r="O306" i="9"/>
  <c r="O303" i="9" s="1"/>
  <c r="J306" i="9"/>
  <c r="J303" i="9" s="1"/>
  <c r="F306" i="9"/>
  <c r="F303" i="9" s="1"/>
  <c r="E306" i="9"/>
  <c r="E303" i="9" s="1"/>
  <c r="K302" i="9"/>
  <c r="I302" i="9"/>
  <c r="I291" i="9" s="1"/>
  <c r="I288" i="9" s="1"/>
  <c r="G302" i="9"/>
  <c r="H302" i="9" s="1"/>
  <c r="H300" i="9"/>
  <c r="H299" i="9"/>
  <c r="N298" i="9"/>
  <c r="G298" i="9"/>
  <c r="G291" i="9" s="1"/>
  <c r="G288" i="9" s="1"/>
  <c r="X297" i="9"/>
  <c r="N297" i="9"/>
  <c r="F297" i="9"/>
  <c r="H297" i="9" s="1"/>
  <c r="H296" i="9"/>
  <c r="H295" i="9"/>
  <c r="L294" i="9"/>
  <c r="H294" i="9"/>
  <c r="H293" i="9"/>
  <c r="L292" i="9"/>
  <c r="K292" i="9"/>
  <c r="K291" i="9" s="1"/>
  <c r="K288" i="9" s="1"/>
  <c r="H292" i="9"/>
  <c r="M291" i="9"/>
  <c r="M288" i="9" s="1"/>
  <c r="J291" i="9"/>
  <c r="J288" i="9" s="1"/>
  <c r="E291" i="9"/>
  <c r="E288" i="9" s="1"/>
  <c r="H287" i="9"/>
  <c r="H286" i="9"/>
  <c r="H285" i="9"/>
  <c r="H284" i="9"/>
  <c r="H283" i="9"/>
  <c r="N282" i="9"/>
  <c r="M282" i="9"/>
  <c r="L282" i="9"/>
  <c r="K282" i="9"/>
  <c r="J282" i="9"/>
  <c r="I282" i="9"/>
  <c r="G282" i="9"/>
  <c r="F282" i="9"/>
  <c r="E282" i="9"/>
  <c r="H281" i="9"/>
  <c r="H280" i="9"/>
  <c r="L279" i="9"/>
  <c r="L278" i="9" s="1"/>
  <c r="I279" i="9"/>
  <c r="I278" i="9" s="1"/>
  <c r="I276" i="9" s="1"/>
  <c r="H279" i="9"/>
  <c r="N278" i="9"/>
  <c r="M278" i="9"/>
  <c r="M276" i="9" s="1"/>
  <c r="K278" i="9"/>
  <c r="J278" i="9"/>
  <c r="G278" i="9"/>
  <c r="F278" i="9"/>
  <c r="E278" i="9"/>
  <c r="H275" i="9"/>
  <c r="H274" i="9"/>
  <c r="H271" i="9" s="1"/>
  <c r="N274" i="9"/>
  <c r="N271" i="9" s="1"/>
  <c r="M274" i="9"/>
  <c r="M271" i="9"/>
  <c r="L274" i="9"/>
  <c r="L271" i="9" s="1"/>
  <c r="K274" i="9"/>
  <c r="K271" i="9" s="1"/>
  <c r="J274" i="9"/>
  <c r="J271" i="9"/>
  <c r="I274" i="9"/>
  <c r="I271" i="9" s="1"/>
  <c r="G274" i="9"/>
  <c r="G271" i="9" s="1"/>
  <c r="F274" i="9"/>
  <c r="F271" i="9"/>
  <c r="E274" i="9"/>
  <c r="E271" i="9" s="1"/>
  <c r="L270" i="9"/>
  <c r="N269" i="9"/>
  <c r="M269" i="9"/>
  <c r="L269" i="9"/>
  <c r="L268" i="9"/>
  <c r="N267" i="9"/>
  <c r="L267" i="9"/>
  <c r="N266" i="9"/>
  <c r="M266" i="9"/>
  <c r="L266" i="9"/>
  <c r="N265" i="9"/>
  <c r="M265" i="9"/>
  <c r="L265" i="9"/>
  <c r="N264" i="9"/>
  <c r="M264" i="9"/>
  <c r="L264" i="9"/>
  <c r="L263" i="9"/>
  <c r="G263" i="9"/>
  <c r="N263" i="9" s="1"/>
  <c r="L262" i="9"/>
  <c r="G262" i="9"/>
  <c r="M262" i="9" s="1"/>
  <c r="N261" i="9"/>
  <c r="M261" i="9"/>
  <c r="L261" i="9"/>
  <c r="N260" i="9"/>
  <c r="M260" i="9"/>
  <c r="L260" i="9"/>
  <c r="N259" i="9"/>
  <c r="M259" i="9"/>
  <c r="L259" i="9"/>
  <c r="L258" i="9"/>
  <c r="G258" i="9"/>
  <c r="M258" i="9" s="1"/>
  <c r="M257" i="9"/>
  <c r="N257" i="9" s="1"/>
  <c r="L257" i="9"/>
  <c r="L256" i="9"/>
  <c r="G256" i="9"/>
  <c r="K255" i="9"/>
  <c r="J255" i="9"/>
  <c r="I255" i="9"/>
  <c r="H255" i="9"/>
  <c r="F255" i="9"/>
  <c r="E255" i="9"/>
  <c r="N253" i="9"/>
  <c r="L253" i="9"/>
  <c r="N252" i="9"/>
  <c r="L252" i="9"/>
  <c r="N251" i="9"/>
  <c r="M251" i="9"/>
  <c r="L251" i="9"/>
  <c r="N250" i="9"/>
  <c r="M250" i="9"/>
  <c r="L250" i="9"/>
  <c r="N249" i="9"/>
  <c r="M249" i="9"/>
  <c r="L249" i="9"/>
  <c r="N248" i="9"/>
  <c r="M248" i="9"/>
  <c r="L248" i="9"/>
  <c r="K247" i="9"/>
  <c r="J247" i="9"/>
  <c r="I247" i="9"/>
  <c r="H247" i="9"/>
  <c r="G247" i="9"/>
  <c r="F247" i="9"/>
  <c r="E247" i="9"/>
  <c r="X237" i="9"/>
  <c r="H236" i="9"/>
  <c r="O235" i="9"/>
  <c r="N235" i="9"/>
  <c r="M235" i="9"/>
  <c r="L235" i="9"/>
  <c r="K235" i="9"/>
  <c r="J235" i="9"/>
  <c r="I235" i="9"/>
  <c r="H235" i="9"/>
  <c r="G235" i="9"/>
  <c r="F235" i="9"/>
  <c r="E235" i="9"/>
  <c r="E228" i="9" s="1"/>
  <c r="N229" i="9"/>
  <c r="M229" i="9"/>
  <c r="L229" i="9"/>
  <c r="K229" i="9"/>
  <c r="J229" i="9"/>
  <c r="I229" i="9"/>
  <c r="H229" i="9"/>
  <c r="G229" i="9"/>
  <c r="F229" i="9"/>
  <c r="E229" i="9"/>
  <c r="H227" i="9"/>
  <c r="H226" i="9"/>
  <c r="H225" i="9"/>
  <c r="H224" i="9"/>
  <c r="H223" i="9"/>
  <c r="H222" i="9"/>
  <c r="H221" i="9"/>
  <c r="H220" i="9"/>
  <c r="K219" i="9"/>
  <c r="K212" i="9" s="1"/>
  <c r="H219" i="9"/>
  <c r="H218" i="9"/>
  <c r="H217" i="9"/>
  <c r="L216" i="9"/>
  <c r="I216" i="9"/>
  <c r="H216" i="9"/>
  <c r="H215" i="9"/>
  <c r="L214" i="9"/>
  <c r="L212" i="9" s="1"/>
  <c r="I214" i="9"/>
  <c r="H214" i="9"/>
  <c r="H213" i="9"/>
  <c r="N212" i="9"/>
  <c r="N195" i="9" s="1"/>
  <c r="M212" i="9"/>
  <c r="J212" i="9"/>
  <c r="G212" i="9"/>
  <c r="F212" i="9"/>
  <c r="E212" i="9"/>
  <c r="N196" i="9"/>
  <c r="M196" i="9"/>
  <c r="L196" i="9"/>
  <c r="K196" i="9"/>
  <c r="J196" i="9"/>
  <c r="I196" i="9"/>
  <c r="H196" i="9"/>
  <c r="G196" i="9"/>
  <c r="F196" i="9"/>
  <c r="E196" i="9"/>
  <c r="L194" i="9"/>
  <c r="L193" i="9" s="1"/>
  <c r="L190" i="9" s="1"/>
  <c r="K194" i="9"/>
  <c r="K193" i="9" s="1"/>
  <c r="K190" i="9" s="1"/>
  <c r="H194" i="9"/>
  <c r="H193" i="9"/>
  <c r="H190" i="9" s="1"/>
  <c r="N193" i="9"/>
  <c r="N190" i="9" s="1"/>
  <c r="M193" i="9"/>
  <c r="M190" i="9" s="1"/>
  <c r="J193" i="9"/>
  <c r="J190" i="9" s="1"/>
  <c r="I193" i="9"/>
  <c r="I190" i="9" s="1"/>
  <c r="G193" i="9"/>
  <c r="G190" i="9" s="1"/>
  <c r="F193" i="9"/>
  <c r="F190" i="9" s="1"/>
  <c r="E193" i="9"/>
  <c r="E190" i="9" s="1"/>
  <c r="L189" i="9"/>
  <c r="L188" i="9"/>
  <c r="X187" i="9"/>
  <c r="L187" i="9"/>
  <c r="X186" i="9"/>
  <c r="N183" i="9"/>
  <c r="N180" i="9" s="1"/>
  <c r="M183" i="9"/>
  <c r="M180" i="9" s="1"/>
  <c r="K183" i="9"/>
  <c r="K180" i="9" s="1"/>
  <c r="J183" i="9"/>
  <c r="J180" i="9" s="1"/>
  <c r="I183" i="9"/>
  <c r="I180" i="9" s="1"/>
  <c r="H183" i="9"/>
  <c r="H180" i="9" s="1"/>
  <c r="G183" i="9"/>
  <c r="G180" i="9" s="1"/>
  <c r="F183" i="9"/>
  <c r="F180" i="9" s="1"/>
  <c r="E183" i="9"/>
  <c r="E180" i="9" s="1"/>
  <c r="M167" i="9"/>
  <c r="N167" i="9" s="1"/>
  <c r="H167" i="9"/>
  <c r="L166" i="9"/>
  <c r="H166" i="9"/>
  <c r="N165" i="9"/>
  <c r="L165" i="9"/>
  <c r="J165" i="9"/>
  <c r="F165" i="9"/>
  <c r="H165" i="9" s="1"/>
  <c r="L164" i="9"/>
  <c r="J164" i="9"/>
  <c r="M164" i="9" s="1"/>
  <c r="N164" i="9" s="1"/>
  <c r="G164" i="9"/>
  <c r="H164" i="9" s="1"/>
  <c r="X163" i="9"/>
  <c r="L163" i="9"/>
  <c r="J163" i="9"/>
  <c r="M163" i="9" s="1"/>
  <c r="N163" i="9" s="1"/>
  <c r="H163" i="9"/>
  <c r="L162" i="9"/>
  <c r="G162" i="9"/>
  <c r="H162" i="9" s="1"/>
  <c r="X161" i="9"/>
  <c r="J161" i="9"/>
  <c r="H161" i="9"/>
  <c r="K160" i="9"/>
  <c r="K157" i="9" s="1"/>
  <c r="I160" i="9"/>
  <c r="I157" i="9" s="1"/>
  <c r="E160" i="9"/>
  <c r="E157" i="9" s="1"/>
  <c r="H156" i="9"/>
  <c r="E156" i="9" s="1"/>
  <c r="H155" i="9"/>
  <c r="H154" i="9"/>
  <c r="E154" i="9" s="1"/>
  <c r="H153" i="9"/>
  <c r="E153" i="9" s="1"/>
  <c r="F152" i="9"/>
  <c r="H152" i="9" s="1"/>
  <c r="N151" i="9"/>
  <c r="M151" i="9"/>
  <c r="L151" i="9"/>
  <c r="K151" i="9"/>
  <c r="J151" i="9"/>
  <c r="I151" i="9"/>
  <c r="G151" i="9"/>
  <c r="F151" i="9"/>
  <c r="F149" i="9"/>
  <c r="N148" i="9"/>
  <c r="M148" i="9"/>
  <c r="L148" i="9"/>
  <c r="K148" i="9"/>
  <c r="J148" i="9"/>
  <c r="I148" i="9"/>
  <c r="G148" i="9"/>
  <c r="N145" i="9"/>
  <c r="M145" i="9"/>
  <c r="L145" i="9"/>
  <c r="K145" i="9"/>
  <c r="J145" i="9"/>
  <c r="I145" i="9"/>
  <c r="H145" i="9"/>
  <c r="G145" i="9"/>
  <c r="F145" i="9"/>
  <c r="E145" i="9"/>
  <c r="M144" i="9"/>
  <c r="H144" i="9"/>
  <c r="H142" i="9"/>
  <c r="H141" i="9"/>
  <c r="H140" i="9"/>
  <c r="H139" i="9"/>
  <c r="H138" i="9"/>
  <c r="N137" i="9"/>
  <c r="M137" i="9"/>
  <c r="L137" i="9"/>
  <c r="K137" i="9"/>
  <c r="J137" i="9"/>
  <c r="I137" i="9"/>
  <c r="G137" i="9"/>
  <c r="F137" i="9"/>
  <c r="E137" i="9"/>
  <c r="H136" i="9"/>
  <c r="J135" i="9"/>
  <c r="H135" i="9"/>
  <c r="L134" i="9"/>
  <c r="L133" i="9"/>
  <c r="J133" i="9"/>
  <c r="J129" i="9" s="1"/>
  <c r="I133" i="9"/>
  <c r="I129" i="9" s="1"/>
  <c r="E133" i="9"/>
  <c r="E132" i="9"/>
  <c r="H131" i="9"/>
  <c r="L130" i="9"/>
  <c r="H130" i="9"/>
  <c r="N129" i="9"/>
  <c r="M129" i="9"/>
  <c r="K129" i="9"/>
  <c r="G129" i="9"/>
  <c r="F129" i="9"/>
  <c r="G127" i="9"/>
  <c r="G122" i="9"/>
  <c r="I116" i="9"/>
  <c r="L116" i="9" s="1"/>
  <c r="V115" i="9"/>
  <c r="N115" i="9"/>
  <c r="M115" i="9"/>
  <c r="L115" i="9"/>
  <c r="J115" i="9"/>
  <c r="I115" i="9"/>
  <c r="G115" i="9"/>
  <c r="E112" i="9"/>
  <c r="K112" i="9" s="1"/>
  <c r="E111" i="9"/>
  <c r="K111" i="9" s="1"/>
  <c r="N110" i="9"/>
  <c r="L110" i="9" s="1"/>
  <c r="E110" i="9"/>
  <c r="K110" i="9" s="1"/>
  <c r="E109" i="9"/>
  <c r="L108" i="9"/>
  <c r="E108" i="9"/>
  <c r="K108" i="9" s="1"/>
  <c r="L107" i="9"/>
  <c r="E107" i="9"/>
  <c r="K107" i="9" s="1"/>
  <c r="L106" i="9"/>
  <c r="N106" i="9" s="1"/>
  <c r="J106" i="9"/>
  <c r="G106" i="9"/>
  <c r="E106" i="9" s="1"/>
  <c r="K106" i="9" s="1"/>
  <c r="N105" i="9"/>
  <c r="I105" i="9"/>
  <c r="G105" i="9"/>
  <c r="E105" i="9" s="1"/>
  <c r="K105" i="9" s="1"/>
  <c r="H104" i="9"/>
  <c r="E104" i="9" s="1"/>
  <c r="I103" i="9"/>
  <c r="G103" i="9"/>
  <c r="E103" i="9" s="1"/>
  <c r="K103" i="9" s="1"/>
  <c r="E102" i="9"/>
  <c r="K102" i="9" s="1"/>
  <c r="N102" i="9" s="1"/>
  <c r="L102" i="9" s="1"/>
  <c r="L101" i="9"/>
  <c r="E101" i="9"/>
  <c r="K101" i="9" s="1"/>
  <c r="L100" i="9"/>
  <c r="E100" i="9"/>
  <c r="K100" i="9" s="1"/>
  <c r="E99" i="9"/>
  <c r="K99" i="9" s="1"/>
  <c r="L98" i="9"/>
  <c r="E98" i="9"/>
  <c r="K98" i="9" s="1"/>
  <c r="L97" i="9"/>
  <c r="E97" i="9"/>
  <c r="K97" i="9" s="1"/>
  <c r="L96" i="9"/>
  <c r="K96" i="9"/>
  <c r="J96" i="9"/>
  <c r="N96" i="9" s="1"/>
  <c r="I96" i="9"/>
  <c r="E96" i="9"/>
  <c r="L95" i="9"/>
  <c r="E95" i="9"/>
  <c r="K95" i="9" s="1"/>
  <c r="L94" i="9"/>
  <c r="E94" i="9"/>
  <c r="K94" i="9" s="1"/>
  <c r="L93" i="9"/>
  <c r="E93" i="9"/>
  <c r="K93" i="9" s="1"/>
  <c r="L92" i="9"/>
  <c r="E92" i="9"/>
  <c r="K92" i="9" s="1"/>
  <c r="L91" i="9"/>
  <c r="E91" i="9"/>
  <c r="K91" i="9" s="1"/>
  <c r="L90" i="9"/>
  <c r="E90" i="9"/>
  <c r="K90" i="9" s="1"/>
  <c r="E89" i="9"/>
  <c r="E88" i="9"/>
  <c r="M87" i="9"/>
  <c r="L87" i="9"/>
  <c r="J87" i="9"/>
  <c r="N87" i="9" s="1"/>
  <c r="I87" i="9"/>
  <c r="G87" i="9"/>
  <c r="E87" i="9" s="1"/>
  <c r="K87" i="9" s="1"/>
  <c r="N85" i="9"/>
  <c r="L85" i="9"/>
  <c r="J85" i="9"/>
  <c r="I85" i="9"/>
  <c r="E85" i="9"/>
  <c r="N84" i="9"/>
  <c r="M84" i="9"/>
  <c r="J84" i="9"/>
  <c r="I84" i="9"/>
  <c r="E84" i="9"/>
  <c r="M83" i="9"/>
  <c r="E83" i="9"/>
  <c r="N82" i="9"/>
  <c r="M82" i="9"/>
  <c r="L82" i="9"/>
  <c r="J82" i="9"/>
  <c r="I82" i="9"/>
  <c r="E82" i="9"/>
  <c r="N81" i="9"/>
  <c r="M81" i="9"/>
  <c r="E81" i="9"/>
  <c r="N80" i="9"/>
  <c r="M80" i="9"/>
  <c r="E80" i="9"/>
  <c r="N79" i="9"/>
  <c r="F79" i="9"/>
  <c r="E79" i="9" s="1"/>
  <c r="K79" i="9" s="1"/>
  <c r="N78" i="9"/>
  <c r="M78" i="9"/>
  <c r="E78" i="9"/>
  <c r="E77" i="9"/>
  <c r="N76" i="9"/>
  <c r="M76" i="9"/>
  <c r="L76" i="9"/>
  <c r="E76" i="9"/>
  <c r="V75" i="9"/>
  <c r="M75" i="9"/>
  <c r="J75" i="9"/>
  <c r="N75" i="9" s="1"/>
  <c r="G75" i="9"/>
  <c r="E75" i="9" s="1"/>
  <c r="L74" i="9"/>
  <c r="J74" i="9"/>
  <c r="N74" i="9" s="1"/>
  <c r="I74" i="9"/>
  <c r="E74" i="9"/>
  <c r="K74" i="9" s="1"/>
  <c r="N73" i="9"/>
  <c r="L73" i="9"/>
  <c r="I73" i="9"/>
  <c r="G73" i="9"/>
  <c r="E73" i="9" s="1"/>
  <c r="M72" i="9"/>
  <c r="L72" i="9"/>
  <c r="J72" i="9"/>
  <c r="N72" i="9" s="1"/>
  <c r="I72" i="9"/>
  <c r="G72" i="9"/>
  <c r="E72" i="9" s="1"/>
  <c r="L71" i="9"/>
  <c r="J71" i="9"/>
  <c r="N71" i="9" s="1"/>
  <c r="I71" i="9"/>
  <c r="G71" i="9"/>
  <c r="E71" i="9" s="1"/>
  <c r="N70" i="9"/>
  <c r="E70" i="9"/>
  <c r="N69" i="9"/>
  <c r="J69" i="9"/>
  <c r="G69" i="9"/>
  <c r="F69" i="9" s="1"/>
  <c r="E69" i="9" s="1"/>
  <c r="N68" i="9"/>
  <c r="M68" i="9"/>
  <c r="E68" i="9"/>
  <c r="J67" i="9"/>
  <c r="N67" i="9" s="1"/>
  <c r="G67" i="9"/>
  <c r="E67" i="9" s="1"/>
  <c r="L66" i="9"/>
  <c r="J66" i="9"/>
  <c r="N66" i="9" s="1"/>
  <c r="I66" i="9"/>
  <c r="G66" i="9"/>
  <c r="E66" i="9" s="1"/>
  <c r="N65" i="9"/>
  <c r="E65" i="9"/>
  <c r="N64" i="9"/>
  <c r="M64" i="9"/>
  <c r="E64" i="9"/>
  <c r="J63" i="9"/>
  <c r="N63" i="9" s="1"/>
  <c r="G63" i="9"/>
  <c r="E63" i="9" s="1"/>
  <c r="N62" i="9"/>
  <c r="M62" i="9"/>
  <c r="E62" i="9"/>
  <c r="N61" i="9"/>
  <c r="M61" i="9"/>
  <c r="L61" i="9"/>
  <c r="K61" i="9"/>
  <c r="I61" i="9"/>
  <c r="F61" i="9"/>
  <c r="E61" i="9" s="1"/>
  <c r="J60" i="9"/>
  <c r="G60" i="9"/>
  <c r="E60" i="9" s="1"/>
  <c r="N59" i="9"/>
  <c r="M59" i="9"/>
  <c r="H59" i="9"/>
  <c r="E59" i="9" s="1"/>
  <c r="N58" i="9"/>
  <c r="M58" i="9"/>
  <c r="E58" i="9"/>
  <c r="N57" i="9"/>
  <c r="M57" i="9"/>
  <c r="E57" i="9"/>
  <c r="N56" i="9"/>
  <c r="G56" i="9"/>
  <c r="E56" i="9" s="1"/>
  <c r="N55" i="9"/>
  <c r="M55" i="9"/>
  <c r="F55" i="9"/>
  <c r="M54" i="9"/>
  <c r="J54" i="9"/>
  <c r="N54" i="9" s="1"/>
  <c r="F54" i="9"/>
  <c r="E53" i="9"/>
  <c r="L52" i="9"/>
  <c r="J52" i="9"/>
  <c r="I52" i="9"/>
  <c r="G52" i="9"/>
  <c r="E52" i="9" s="1"/>
  <c r="J51" i="9"/>
  <c r="N51" i="9" s="1"/>
  <c r="G51" i="9"/>
  <c r="E51" i="9" s="1"/>
  <c r="J50" i="9"/>
  <c r="M50" i="9" s="1"/>
  <c r="G50" i="9"/>
  <c r="E50" i="9" s="1"/>
  <c r="L49" i="9"/>
  <c r="K49" i="9"/>
  <c r="J49" i="9"/>
  <c r="M49" i="9" s="1"/>
  <c r="I49" i="9"/>
  <c r="H49" i="9"/>
  <c r="E49" i="9" s="1"/>
  <c r="J48" i="9"/>
  <c r="M48" i="9" s="1"/>
  <c r="G48" i="9"/>
  <c r="F48" i="9"/>
  <c r="N47" i="9"/>
  <c r="M47" i="9"/>
  <c r="H47" i="9"/>
  <c r="J46" i="9"/>
  <c r="M46" i="9" s="1"/>
  <c r="G46" i="9"/>
  <c r="E46" i="9" s="1"/>
  <c r="J45" i="9"/>
  <c r="G45" i="9"/>
  <c r="E45" i="9" s="1"/>
  <c r="N44" i="9"/>
  <c r="M44" i="9"/>
  <c r="E44" i="9"/>
  <c r="N43" i="9"/>
  <c r="M43" i="9"/>
  <c r="E43" i="9"/>
  <c r="N42" i="9"/>
  <c r="M42" i="9"/>
  <c r="E42" i="9"/>
  <c r="N41" i="9"/>
  <c r="M41" i="9"/>
  <c r="L41" i="9"/>
  <c r="K41" i="9"/>
  <c r="I41" i="9"/>
  <c r="F41" i="9"/>
  <c r="G37" i="9"/>
  <c r="N35" i="9"/>
  <c r="M35" i="9"/>
  <c r="F35" i="9"/>
  <c r="E35" i="9" s="1"/>
  <c r="N34" i="9"/>
  <c r="M34" i="9"/>
  <c r="E34" i="9"/>
  <c r="N33" i="9"/>
  <c r="M33" i="9"/>
  <c r="E33" i="9"/>
  <c r="N27" i="9"/>
  <c r="L27" i="9" s="1"/>
  <c r="I27" i="9"/>
  <c r="F27" i="9"/>
  <c r="E27" i="9" s="1"/>
  <c r="K27" i="9" s="1"/>
  <c r="L26" i="9"/>
  <c r="K26" i="9"/>
  <c r="I26" i="9"/>
  <c r="F26" i="9"/>
  <c r="E26" i="9" s="1"/>
  <c r="N25" i="9"/>
  <c r="M25" i="9"/>
  <c r="I25" i="9"/>
  <c r="I15" i="9" s="1"/>
  <c r="H25" i="9"/>
  <c r="E25" i="9" s="1"/>
  <c r="J24" i="9"/>
  <c r="N24" i="9" s="1"/>
  <c r="G24" i="9"/>
  <c r="F24" i="9"/>
  <c r="N23" i="9"/>
  <c r="M23" i="9"/>
  <c r="F23" i="9"/>
  <c r="E23" i="9" s="1"/>
  <c r="N22" i="9"/>
  <c r="M22" i="9"/>
  <c r="F22" i="9"/>
  <c r="E22" i="9" s="1"/>
  <c r="N21" i="9"/>
  <c r="M21" i="9"/>
  <c r="F21" i="9"/>
  <c r="E21" i="9" s="1"/>
  <c r="N20" i="9"/>
  <c r="M20" i="9"/>
  <c r="E20" i="9"/>
  <c r="N19" i="9"/>
  <c r="M19" i="9"/>
  <c r="F19" i="9"/>
  <c r="E19" i="9" s="1"/>
  <c r="N18" i="9"/>
  <c r="M18" i="9"/>
  <c r="E18" i="9"/>
  <c r="J17" i="9"/>
  <c r="M17" i="9" s="1"/>
  <c r="E17" i="9"/>
  <c r="N16" i="9"/>
  <c r="M16" i="9"/>
  <c r="E16" i="9"/>
  <c r="Q14" i="9"/>
  <c r="J14" i="9"/>
  <c r="N14" i="9" s="1"/>
  <c r="N13" i="9" s="1"/>
  <c r="G14" i="9"/>
  <c r="E14" i="9" s="1"/>
  <c r="E13" i="9" s="1"/>
  <c r="L13" i="9"/>
  <c r="K13" i="9"/>
  <c r="I13" i="9"/>
  <c r="H13" i="9"/>
  <c r="F13" i="9"/>
  <c r="L228" i="9"/>
  <c r="N60" i="9"/>
  <c r="M60" i="9"/>
  <c r="E41" i="9"/>
  <c r="M161" i="9"/>
  <c r="H34" i="7"/>
  <c r="H13" i="7"/>
  <c r="Y41" i="7"/>
  <c r="X41" i="7"/>
  <c r="X187" i="2"/>
  <c r="X186" i="2"/>
  <c r="X359" i="2"/>
  <c r="X297" i="2"/>
  <c r="X237" i="2"/>
  <c r="X163" i="2"/>
  <c r="X161" i="2"/>
  <c r="N298" i="2"/>
  <c r="Q14" i="2"/>
  <c r="V75" i="2"/>
  <c r="L115" i="2"/>
  <c r="I115" i="2"/>
  <c r="J115" i="2"/>
  <c r="M115" i="2"/>
  <c r="N115" i="2"/>
  <c r="V115" i="2"/>
  <c r="I116" i="2"/>
  <c r="L116" i="2" s="1"/>
  <c r="G115" i="2"/>
  <c r="G122" i="2"/>
  <c r="N359" i="2"/>
  <c r="N297" i="2"/>
  <c r="F306" i="2"/>
  <c r="E306" i="2"/>
  <c r="E303" i="2" s="1"/>
  <c r="F137" i="2"/>
  <c r="G137" i="2"/>
  <c r="I137" i="2"/>
  <c r="J137" i="2"/>
  <c r="K137" i="2"/>
  <c r="L137" i="2"/>
  <c r="N137" i="2"/>
  <c r="G151" i="2"/>
  <c r="I151" i="2"/>
  <c r="J151" i="2"/>
  <c r="K151" i="2"/>
  <c r="L151" i="2"/>
  <c r="M151" i="2"/>
  <c r="N151" i="2"/>
  <c r="E160" i="2"/>
  <c r="E157" i="2" s="1"/>
  <c r="I160" i="2"/>
  <c r="I157" i="2" s="1"/>
  <c r="K160" i="2"/>
  <c r="K157" i="2" s="1"/>
  <c r="F345" i="2"/>
  <c r="F342" i="2" s="1"/>
  <c r="G345" i="2"/>
  <c r="G342" i="2" s="1"/>
  <c r="I345" i="2"/>
  <c r="I342" i="2" s="1"/>
  <c r="J345" i="2"/>
  <c r="J342" i="2" s="1"/>
  <c r="L345" i="2"/>
  <c r="L342" i="2" s="1"/>
  <c r="M345" i="2"/>
  <c r="E345" i="2"/>
  <c r="E342" i="2" s="1"/>
  <c r="N358" i="2"/>
  <c r="N355" i="2" s="1"/>
  <c r="M358" i="2"/>
  <c r="M355" i="2" s="1"/>
  <c r="L358" i="2"/>
  <c r="L355" i="2" s="1"/>
  <c r="K358" i="2"/>
  <c r="K355" i="2" s="1"/>
  <c r="J358" i="2"/>
  <c r="J355" i="2" s="1"/>
  <c r="I358" i="2"/>
  <c r="I355" i="2" s="1"/>
  <c r="H358" i="2"/>
  <c r="H355" i="2" s="1"/>
  <c r="G358" i="2"/>
  <c r="G355" i="2" s="1"/>
  <c r="F358" i="2"/>
  <c r="F355" i="2" s="1"/>
  <c r="E358" i="2"/>
  <c r="E355" i="2" s="1"/>
  <c r="F278" i="2"/>
  <c r="G278" i="2"/>
  <c r="J278" i="2"/>
  <c r="K278" i="2"/>
  <c r="M278" i="2"/>
  <c r="N278" i="2"/>
  <c r="E278" i="2"/>
  <c r="E276" i="2" s="1"/>
  <c r="H281" i="2"/>
  <c r="H280" i="2"/>
  <c r="L279" i="2"/>
  <c r="L278" i="2" s="1"/>
  <c r="I279" i="2"/>
  <c r="I278" i="2" s="1"/>
  <c r="H279" i="2"/>
  <c r="G37" i="2"/>
  <c r="H155" i="2"/>
  <c r="H347" i="2"/>
  <c r="H348" i="2"/>
  <c r="H349" i="2"/>
  <c r="H350" i="2"/>
  <c r="H351" i="2"/>
  <c r="H352" i="2"/>
  <c r="H353" i="2"/>
  <c r="H354" i="2"/>
  <c r="H346" i="2"/>
  <c r="K348" i="2"/>
  <c r="K345" i="2" s="1"/>
  <c r="K342" i="2" s="1"/>
  <c r="N347" i="2"/>
  <c r="N345" i="2" s="1"/>
  <c r="N342" i="2" s="1"/>
  <c r="M342" i="2"/>
  <c r="L341" i="2"/>
  <c r="H341" i="2"/>
  <c r="L340" i="2"/>
  <c r="H340" i="2"/>
  <c r="M339" i="2"/>
  <c r="M336" i="2" s="1"/>
  <c r="K339" i="2"/>
  <c r="K336" i="2" s="1"/>
  <c r="J339" i="2"/>
  <c r="J336" i="2" s="1"/>
  <c r="I339" i="2"/>
  <c r="I336" i="2" s="1"/>
  <c r="G339" i="2"/>
  <c r="G336" i="2" s="1"/>
  <c r="F339" i="2"/>
  <c r="F336" i="2" s="1"/>
  <c r="E339" i="2"/>
  <c r="E336" i="2" s="1"/>
  <c r="N339" i="2"/>
  <c r="N336" i="2" s="1"/>
  <c r="N328" i="2"/>
  <c r="N306" i="2" s="1"/>
  <c r="N303" i="2" s="1"/>
  <c r="M328" i="2"/>
  <c r="M306" i="2" s="1"/>
  <c r="M303" i="2" s="1"/>
  <c r="L328" i="2"/>
  <c r="L306" i="2"/>
  <c r="L303" i="2" s="1"/>
  <c r="J328" i="2"/>
  <c r="J306" i="2" s="1"/>
  <c r="J303" i="2" s="1"/>
  <c r="G328" i="2"/>
  <c r="G306" i="2" s="1"/>
  <c r="G303" i="2" s="1"/>
  <c r="K327" i="2"/>
  <c r="H327" i="2"/>
  <c r="H326" i="2"/>
  <c r="H325" i="2"/>
  <c r="H324" i="2"/>
  <c r="K323" i="2"/>
  <c r="H323" i="2"/>
  <c r="K322" i="2"/>
  <c r="H322" i="2"/>
  <c r="H321" i="2"/>
  <c r="H320" i="2"/>
  <c r="H319" i="2"/>
  <c r="Q318" i="2"/>
  <c r="H318" i="2"/>
  <c r="H317" i="2"/>
  <c r="H316" i="2"/>
  <c r="I315" i="2"/>
  <c r="H315" i="2"/>
  <c r="H314" i="2"/>
  <c r="I313" i="2"/>
  <c r="H313" i="2"/>
  <c r="H312" i="2"/>
  <c r="H311" i="2"/>
  <c r="H310" i="2"/>
  <c r="H309" i="2"/>
  <c r="H308" i="2"/>
  <c r="H307" i="2"/>
  <c r="O306" i="2"/>
  <c r="O303" i="2" s="1"/>
  <c r="F303" i="2"/>
  <c r="M291" i="2"/>
  <c r="M288" i="2" s="1"/>
  <c r="E291" i="2"/>
  <c r="E288" i="2" s="1"/>
  <c r="K302" i="2"/>
  <c r="I302" i="2"/>
  <c r="I291" i="2" s="1"/>
  <c r="I288" i="2" s="1"/>
  <c r="G302" i="2"/>
  <c r="H300" i="2"/>
  <c r="H299" i="2"/>
  <c r="G298" i="2"/>
  <c r="H298" i="2" s="1"/>
  <c r="F297" i="2"/>
  <c r="H297" i="2" s="1"/>
  <c r="H296" i="2"/>
  <c r="H295" i="2"/>
  <c r="L294" i="2"/>
  <c r="H294" i="2"/>
  <c r="H293" i="2"/>
  <c r="L292" i="2"/>
  <c r="K292" i="2"/>
  <c r="H292" i="2"/>
  <c r="J291" i="2"/>
  <c r="J288" i="2" s="1"/>
  <c r="F282" i="2"/>
  <c r="G282" i="2"/>
  <c r="I282" i="2"/>
  <c r="J282" i="2"/>
  <c r="K282" i="2"/>
  <c r="K276" i="2"/>
  <c r="L282" i="2"/>
  <c r="M282" i="2"/>
  <c r="N282" i="2"/>
  <c r="E282" i="2"/>
  <c r="H284" i="2"/>
  <c r="H285" i="2"/>
  <c r="H286" i="2"/>
  <c r="H287" i="2"/>
  <c r="H283" i="2"/>
  <c r="F274" i="2"/>
  <c r="F271" i="2" s="1"/>
  <c r="G274" i="2"/>
  <c r="G271" i="2" s="1"/>
  <c r="I274" i="2"/>
  <c r="I271" i="2" s="1"/>
  <c r="J274" i="2"/>
  <c r="J271" i="2" s="1"/>
  <c r="K274" i="2"/>
  <c r="K271" i="2" s="1"/>
  <c r="L274" i="2"/>
  <c r="L271" i="2" s="1"/>
  <c r="M274" i="2"/>
  <c r="M271" i="2" s="1"/>
  <c r="N274" i="2"/>
  <c r="N271" i="2" s="1"/>
  <c r="E274" i="2"/>
  <c r="E271" i="2" s="1"/>
  <c r="H275" i="2"/>
  <c r="H274" i="2" s="1"/>
  <c r="H271" i="2" s="1"/>
  <c r="L270" i="2"/>
  <c r="N269" i="2"/>
  <c r="M269" i="2"/>
  <c r="L269" i="2"/>
  <c r="L268" i="2"/>
  <c r="N267" i="2"/>
  <c r="L267" i="2"/>
  <c r="N266" i="2"/>
  <c r="M266" i="2"/>
  <c r="L266" i="2"/>
  <c r="N265" i="2"/>
  <c r="M265" i="2"/>
  <c r="L265" i="2"/>
  <c r="N264" i="2"/>
  <c r="M264" i="2"/>
  <c r="L264" i="2"/>
  <c r="L263" i="2"/>
  <c r="G263" i="2"/>
  <c r="M263" i="2" s="1"/>
  <c r="L262" i="2"/>
  <c r="G262" i="2"/>
  <c r="M262" i="2" s="1"/>
  <c r="N261" i="2"/>
  <c r="M261" i="2"/>
  <c r="L261" i="2"/>
  <c r="N260" i="2"/>
  <c r="M260" i="2"/>
  <c r="L260" i="2"/>
  <c r="N259" i="2"/>
  <c r="M259" i="2"/>
  <c r="L259" i="2"/>
  <c r="L258" i="2"/>
  <c r="G258" i="2"/>
  <c r="M258" i="2" s="1"/>
  <c r="M257" i="2"/>
  <c r="N257" i="2" s="1"/>
  <c r="L257" i="2"/>
  <c r="L256" i="2"/>
  <c r="G256" i="2"/>
  <c r="N256" i="2" s="1"/>
  <c r="K255" i="2"/>
  <c r="J255" i="2"/>
  <c r="I255" i="2"/>
  <c r="H255" i="2"/>
  <c r="F255" i="2"/>
  <c r="E255" i="2"/>
  <c r="N253" i="2"/>
  <c r="L253" i="2"/>
  <c r="N252" i="2"/>
  <c r="L252" i="2"/>
  <c r="N251" i="2"/>
  <c r="M251" i="2"/>
  <c r="L251" i="2"/>
  <c r="N250" i="2"/>
  <c r="M250" i="2"/>
  <c r="L250" i="2"/>
  <c r="N249" i="2"/>
  <c r="M249" i="2"/>
  <c r="L249" i="2"/>
  <c r="N248" i="2"/>
  <c r="M248" i="2"/>
  <c r="L248" i="2"/>
  <c r="K247" i="2"/>
  <c r="J247" i="2"/>
  <c r="I247" i="2"/>
  <c r="H247" i="2"/>
  <c r="G247" i="2"/>
  <c r="F247" i="2"/>
  <c r="E247" i="2"/>
  <c r="E246" i="2" s="1"/>
  <c r="H236" i="2"/>
  <c r="H235" i="2" s="1"/>
  <c r="O235" i="2"/>
  <c r="N235" i="2"/>
  <c r="M235" i="2"/>
  <c r="L235" i="2"/>
  <c r="K235" i="2"/>
  <c r="J235" i="2"/>
  <c r="I235" i="2"/>
  <c r="G235" i="2"/>
  <c r="F235" i="2"/>
  <c r="E235" i="2"/>
  <c r="N229" i="2"/>
  <c r="M229" i="2"/>
  <c r="L229" i="2"/>
  <c r="K229" i="2"/>
  <c r="J229" i="2"/>
  <c r="I229" i="2"/>
  <c r="I228" i="2" s="1"/>
  <c r="H229" i="2"/>
  <c r="G229" i="2"/>
  <c r="F229" i="2"/>
  <c r="E229" i="2"/>
  <c r="F212" i="2"/>
  <c r="G212" i="2"/>
  <c r="J212" i="2"/>
  <c r="M212" i="2"/>
  <c r="N212" i="2"/>
  <c r="H214" i="2"/>
  <c r="H215" i="2"/>
  <c r="H216" i="2"/>
  <c r="H217" i="2"/>
  <c r="H218" i="2"/>
  <c r="H219" i="2"/>
  <c r="H220" i="2"/>
  <c r="H221" i="2"/>
  <c r="H222" i="2"/>
  <c r="H223" i="2"/>
  <c r="H224" i="2"/>
  <c r="H225" i="2"/>
  <c r="H226" i="2"/>
  <c r="H227" i="2"/>
  <c r="H213" i="2"/>
  <c r="K219" i="2"/>
  <c r="K212" i="2" s="1"/>
  <c r="L216" i="2"/>
  <c r="I216" i="2"/>
  <c r="L214" i="2"/>
  <c r="I214" i="2"/>
  <c r="E212" i="2"/>
  <c r="N196" i="2"/>
  <c r="M196" i="2"/>
  <c r="L196" i="2"/>
  <c r="K196" i="2"/>
  <c r="J196" i="2"/>
  <c r="I196" i="2"/>
  <c r="H196" i="2"/>
  <c r="G196" i="2"/>
  <c r="F196" i="2"/>
  <c r="E196" i="2"/>
  <c r="F193" i="2"/>
  <c r="F190" i="2" s="1"/>
  <c r="G193" i="2"/>
  <c r="G190" i="2" s="1"/>
  <c r="I193" i="2"/>
  <c r="I190" i="2" s="1"/>
  <c r="J193" i="2"/>
  <c r="J190" i="2" s="1"/>
  <c r="M193" i="2"/>
  <c r="M190" i="2" s="1"/>
  <c r="N193" i="2"/>
  <c r="N190" i="2" s="1"/>
  <c r="E193" i="2"/>
  <c r="E190" i="2" s="1"/>
  <c r="L194" i="2"/>
  <c r="L193" i="2" s="1"/>
  <c r="L190" i="2" s="1"/>
  <c r="K194" i="2"/>
  <c r="K193" i="2" s="1"/>
  <c r="K190" i="2" s="1"/>
  <c r="H194" i="2"/>
  <c r="H193" i="2" s="1"/>
  <c r="H190" i="2" s="1"/>
  <c r="F183" i="2"/>
  <c r="F180" i="2" s="1"/>
  <c r="G183" i="2"/>
  <c r="G180" i="2" s="1"/>
  <c r="H183" i="2"/>
  <c r="H180" i="2" s="1"/>
  <c r="I183" i="2"/>
  <c r="I180" i="2" s="1"/>
  <c r="J183" i="2"/>
  <c r="J180" i="2" s="1"/>
  <c r="K183" i="2"/>
  <c r="K180" i="2" s="1"/>
  <c r="M183" i="2"/>
  <c r="M180" i="2" s="1"/>
  <c r="N183" i="2"/>
  <c r="N180" i="2" s="1"/>
  <c r="E183" i="2"/>
  <c r="E180" i="2" s="1"/>
  <c r="L189" i="2"/>
  <c r="L188" i="2"/>
  <c r="L187" i="2"/>
  <c r="M167" i="2"/>
  <c r="N167" i="2" s="1"/>
  <c r="H167" i="2"/>
  <c r="L166" i="2"/>
  <c r="H166" i="2"/>
  <c r="N165" i="2"/>
  <c r="L165" i="2"/>
  <c r="J165" i="2"/>
  <c r="F165" i="2"/>
  <c r="H165" i="2" s="1"/>
  <c r="L164" i="2"/>
  <c r="J164" i="2"/>
  <c r="M164" i="2" s="1"/>
  <c r="N164" i="2" s="1"/>
  <c r="G164" i="2"/>
  <c r="H164" i="2" s="1"/>
  <c r="L163" i="2"/>
  <c r="J163" i="2"/>
  <c r="M163" i="2" s="1"/>
  <c r="N163" i="2" s="1"/>
  <c r="H163" i="2"/>
  <c r="L162" i="2"/>
  <c r="G162" i="2"/>
  <c r="H162" i="2" s="1"/>
  <c r="J161" i="2"/>
  <c r="M161" i="2" s="1"/>
  <c r="N161" i="2" s="1"/>
  <c r="H161" i="2"/>
  <c r="H156" i="2"/>
  <c r="E156" i="2" s="1"/>
  <c r="H154" i="2"/>
  <c r="E154" i="2" s="1"/>
  <c r="H153" i="2"/>
  <c r="E153" i="2" s="1"/>
  <c r="F152" i="2"/>
  <c r="F151" i="2" s="1"/>
  <c r="F149" i="2"/>
  <c r="H149" i="2" s="1"/>
  <c r="H148" i="2" s="1"/>
  <c r="N148" i="2"/>
  <c r="M148" i="2"/>
  <c r="L148" i="2"/>
  <c r="K148" i="2"/>
  <c r="J148" i="2"/>
  <c r="J147" i="2" s="1"/>
  <c r="I148" i="2"/>
  <c r="G148" i="2"/>
  <c r="F145" i="2"/>
  <c r="G145" i="2"/>
  <c r="H145" i="2"/>
  <c r="I145" i="2"/>
  <c r="J145" i="2"/>
  <c r="K145" i="2"/>
  <c r="L145" i="2"/>
  <c r="M145" i="2"/>
  <c r="N145" i="2"/>
  <c r="E145" i="2"/>
  <c r="E137" i="2"/>
  <c r="M144" i="2"/>
  <c r="M137" i="2" s="1"/>
  <c r="H144" i="2"/>
  <c r="H142" i="2"/>
  <c r="H141" i="2"/>
  <c r="H140" i="2"/>
  <c r="H139" i="2"/>
  <c r="H138" i="2"/>
  <c r="F129" i="2"/>
  <c r="G129" i="2"/>
  <c r="K129" i="2"/>
  <c r="M129" i="2"/>
  <c r="N129" i="2"/>
  <c r="H136" i="2"/>
  <c r="J135" i="2"/>
  <c r="H135" i="2"/>
  <c r="L134" i="2"/>
  <c r="L133" i="2"/>
  <c r="J133" i="2"/>
  <c r="J129" i="2" s="1"/>
  <c r="I133" i="2"/>
  <c r="I129" i="2" s="1"/>
  <c r="E133" i="2"/>
  <c r="E132" i="2"/>
  <c r="H131" i="2"/>
  <c r="L130" i="2"/>
  <c r="H130" i="2"/>
  <c r="G127" i="2"/>
  <c r="E112" i="2"/>
  <c r="K112" i="2" s="1"/>
  <c r="H104" i="2"/>
  <c r="G103" i="2"/>
  <c r="E103" i="2" s="1"/>
  <c r="K103" i="2" s="1"/>
  <c r="L96" i="2"/>
  <c r="J96" i="2"/>
  <c r="N96" i="2" s="1"/>
  <c r="I96" i="2"/>
  <c r="K96" i="2"/>
  <c r="L87" i="2"/>
  <c r="J87" i="2"/>
  <c r="N87" i="2" s="1"/>
  <c r="I87" i="2"/>
  <c r="G87" i="2"/>
  <c r="E87" i="2" s="1"/>
  <c r="K87" i="2" s="1"/>
  <c r="N56" i="2"/>
  <c r="G56" i="2"/>
  <c r="E56" i="2" s="1"/>
  <c r="H59" i="2"/>
  <c r="E59" i="2" s="1"/>
  <c r="F79" i="2"/>
  <c r="E79" i="2" s="1"/>
  <c r="K79" i="2" s="1"/>
  <c r="M75" i="2"/>
  <c r="J75" i="2"/>
  <c r="N75" i="2" s="1"/>
  <c r="G75" i="2"/>
  <c r="E75" i="2" s="1"/>
  <c r="L73" i="2"/>
  <c r="G73" i="2"/>
  <c r="E73" i="2" s="1"/>
  <c r="G72" i="2"/>
  <c r="E72" i="2" s="1"/>
  <c r="J71" i="2"/>
  <c r="N71" i="2" s="1"/>
  <c r="G71" i="2"/>
  <c r="E71" i="2" s="1"/>
  <c r="J69" i="2"/>
  <c r="G69" i="2"/>
  <c r="F69" i="2" s="1"/>
  <c r="E69" i="2" s="1"/>
  <c r="H47" i="2"/>
  <c r="G47" i="2" s="1"/>
  <c r="E47" i="2" s="1"/>
  <c r="J67" i="2"/>
  <c r="N67" i="2" s="1"/>
  <c r="G67" i="2"/>
  <c r="E67" i="2" s="1"/>
  <c r="G66" i="2"/>
  <c r="K66" i="2" s="1"/>
  <c r="G63" i="2"/>
  <c r="E63" i="2" s="1"/>
  <c r="F61" i="2"/>
  <c r="E61" i="2" s="1"/>
  <c r="J60" i="2"/>
  <c r="N60" i="2" s="1"/>
  <c r="G60" i="2"/>
  <c r="E60" i="2" s="1"/>
  <c r="J52" i="2"/>
  <c r="N52" i="2" s="1"/>
  <c r="G52" i="2"/>
  <c r="E52" i="2" s="1"/>
  <c r="G51" i="2"/>
  <c r="E51" i="2" s="1"/>
  <c r="G50" i="2"/>
  <c r="E50" i="2" s="1"/>
  <c r="H49" i="2"/>
  <c r="E49" i="2" s="1"/>
  <c r="G48" i="2"/>
  <c r="F48" i="2"/>
  <c r="J45" i="2"/>
  <c r="N45" i="2" s="1"/>
  <c r="G45" i="2"/>
  <c r="E45" i="2" s="1"/>
  <c r="F41" i="2"/>
  <c r="E41" i="2" s="1"/>
  <c r="F35" i="2"/>
  <c r="F27" i="2"/>
  <c r="E27" i="2" s="1"/>
  <c r="K27" i="2" s="1"/>
  <c r="F26" i="2"/>
  <c r="E26" i="2" s="1"/>
  <c r="H25" i="2"/>
  <c r="H15" i="2" s="1"/>
  <c r="F24" i="2"/>
  <c r="G24" i="2"/>
  <c r="G15" i="2" s="1"/>
  <c r="F23" i="2"/>
  <c r="E23" i="2" s="1"/>
  <c r="F22" i="2"/>
  <c r="F21" i="2"/>
  <c r="E21" i="2" s="1"/>
  <c r="F19" i="2"/>
  <c r="G14" i="2"/>
  <c r="E14" i="2" s="1"/>
  <c r="E13" i="2" s="1"/>
  <c r="F13" i="2"/>
  <c r="H13" i="2"/>
  <c r="I13" i="2"/>
  <c r="K13" i="2"/>
  <c r="L13" i="2"/>
  <c r="N69" i="2"/>
  <c r="G46" i="2"/>
  <c r="E46" i="2" s="1"/>
  <c r="N110" i="2"/>
  <c r="L110" i="2" s="1"/>
  <c r="E108" i="2"/>
  <c r="K108" i="2" s="1"/>
  <c r="E109" i="2"/>
  <c r="E110" i="2"/>
  <c r="K110" i="2" s="1"/>
  <c r="E99" i="2"/>
  <c r="K99" i="2" s="1"/>
  <c r="E111" i="2"/>
  <c r="K111" i="2" s="1"/>
  <c r="L106" i="2"/>
  <c r="N106" i="2" s="1"/>
  <c r="J106" i="2"/>
  <c r="G106" i="2"/>
  <c r="E106" i="2" s="1"/>
  <c r="K106" i="2" s="1"/>
  <c r="N105" i="2"/>
  <c r="I105" i="2"/>
  <c r="G105" i="2"/>
  <c r="E105" i="2" s="1"/>
  <c r="K105" i="2" s="1"/>
  <c r="E94" i="2"/>
  <c r="K94" i="2" s="1"/>
  <c r="E95" i="2"/>
  <c r="K95" i="2" s="1"/>
  <c r="E96" i="2"/>
  <c r="E97" i="2"/>
  <c r="K97" i="2" s="1"/>
  <c r="E98" i="2"/>
  <c r="K98" i="2" s="1"/>
  <c r="E107" i="2"/>
  <c r="K107" i="2" s="1"/>
  <c r="E100" i="2"/>
  <c r="K100" i="2" s="1"/>
  <c r="E101" i="2"/>
  <c r="K101" i="2" s="1"/>
  <c r="E102" i="2"/>
  <c r="K102" i="2" s="1"/>
  <c r="N102" i="2" s="1"/>
  <c r="L102" i="2" s="1"/>
  <c r="E90" i="2"/>
  <c r="K90" i="2" s="1"/>
  <c r="E91" i="2"/>
  <c r="K91" i="2" s="1"/>
  <c r="E92" i="2"/>
  <c r="K92" i="2" s="1"/>
  <c r="E93" i="2"/>
  <c r="K93" i="2" s="1"/>
  <c r="L108" i="2"/>
  <c r="L101" i="2"/>
  <c r="L100" i="2"/>
  <c r="L107" i="2"/>
  <c r="L98" i="2"/>
  <c r="L97" i="2"/>
  <c r="L95" i="2"/>
  <c r="L94" i="2"/>
  <c r="L93" i="2"/>
  <c r="L92" i="2"/>
  <c r="L91" i="2"/>
  <c r="L90" i="2"/>
  <c r="I103" i="2"/>
  <c r="E88" i="2"/>
  <c r="E89" i="2"/>
  <c r="N27" i="2"/>
  <c r="L27" i="2" s="1"/>
  <c r="L15" i="2" s="1"/>
  <c r="I27" i="2"/>
  <c r="M72" i="2"/>
  <c r="L26" i="2"/>
  <c r="K26" i="2"/>
  <c r="I26" i="2"/>
  <c r="M87" i="2"/>
  <c r="E82" i="2"/>
  <c r="E83" i="2"/>
  <c r="E84" i="2"/>
  <c r="E85" i="2"/>
  <c r="N84" i="2"/>
  <c r="M84" i="2"/>
  <c r="I84" i="2"/>
  <c r="J84" i="2"/>
  <c r="M83" i="2"/>
  <c r="M82" i="2"/>
  <c r="L85" i="2"/>
  <c r="L82" i="2"/>
  <c r="N85" i="2"/>
  <c r="N82" i="2"/>
  <c r="J85" i="2"/>
  <c r="J82" i="2"/>
  <c r="I85" i="2"/>
  <c r="I82" i="2"/>
  <c r="M80" i="2"/>
  <c r="N80" i="2"/>
  <c r="M81" i="2"/>
  <c r="N81" i="2"/>
  <c r="N78" i="2"/>
  <c r="M78" i="2"/>
  <c r="E78" i="2"/>
  <c r="E80" i="2"/>
  <c r="E81" i="2"/>
  <c r="N79" i="2"/>
  <c r="E77" i="2"/>
  <c r="E76" i="2"/>
  <c r="E74" i="2"/>
  <c r="K74" i="2" s="1"/>
  <c r="M76" i="2"/>
  <c r="L74" i="2"/>
  <c r="L72" i="2"/>
  <c r="J74" i="2"/>
  <c r="N74" i="2" s="1"/>
  <c r="I74" i="2"/>
  <c r="N73" i="2"/>
  <c r="J72" i="2"/>
  <c r="N72" i="2" s="1"/>
  <c r="I73" i="2"/>
  <c r="I72" i="2"/>
  <c r="L71" i="2"/>
  <c r="I71" i="2"/>
  <c r="E70" i="2"/>
  <c r="N70" i="2"/>
  <c r="E68" i="2"/>
  <c r="M68" i="2"/>
  <c r="N68" i="2"/>
  <c r="L66" i="2"/>
  <c r="J66" i="2"/>
  <c r="N66" i="2" s="1"/>
  <c r="I66" i="2"/>
  <c r="J63" i="2"/>
  <c r="N63" i="2" s="1"/>
  <c r="E65" i="2"/>
  <c r="N65" i="2"/>
  <c r="J49" i="2"/>
  <c r="N49" i="2" s="1"/>
  <c r="K49" i="2"/>
  <c r="I49" i="2"/>
  <c r="L49" i="2"/>
  <c r="N76" i="2"/>
  <c r="L76" i="2"/>
  <c r="L52" i="2"/>
  <c r="I52" i="2"/>
  <c r="M47" i="2"/>
  <c r="N47" i="2"/>
  <c r="J54" i="2"/>
  <c r="N54" i="2" s="1"/>
  <c r="M54" i="2"/>
  <c r="J46" i="2"/>
  <c r="M46" i="2" s="1"/>
  <c r="J48" i="2"/>
  <c r="M48" i="2" s="1"/>
  <c r="K41" i="2"/>
  <c r="M41" i="2"/>
  <c r="N41" i="2"/>
  <c r="L41" i="2"/>
  <c r="I41" i="2"/>
  <c r="E57" i="2"/>
  <c r="E58" i="2"/>
  <c r="E62" i="2"/>
  <c r="E64" i="2"/>
  <c r="E53" i="2"/>
  <c r="J24" i="2"/>
  <c r="M24" i="2" s="1"/>
  <c r="M25" i="2"/>
  <c r="N25" i="2"/>
  <c r="I25" i="2"/>
  <c r="I15" i="2" s="1"/>
  <c r="M64" i="2"/>
  <c r="N64" i="2"/>
  <c r="M62" i="2"/>
  <c r="N62" i="2"/>
  <c r="L61" i="2"/>
  <c r="I61" i="2"/>
  <c r="K61" i="2"/>
  <c r="M61" i="2"/>
  <c r="N61" i="2"/>
  <c r="M59" i="2"/>
  <c r="N59" i="2"/>
  <c r="M58" i="2"/>
  <c r="N58" i="2"/>
  <c r="M57" i="2"/>
  <c r="N57" i="2"/>
  <c r="M55" i="2"/>
  <c r="N55" i="2"/>
  <c r="F54" i="2"/>
  <c r="G54" i="2" s="1"/>
  <c r="F55" i="2"/>
  <c r="G55" i="2" s="1"/>
  <c r="E44" i="2"/>
  <c r="J51" i="2"/>
  <c r="N51" i="2" s="1"/>
  <c r="J50" i="2"/>
  <c r="M50" i="2" s="1"/>
  <c r="M44" i="2"/>
  <c r="N44" i="2"/>
  <c r="E42" i="2"/>
  <c r="E43" i="2"/>
  <c r="M43" i="2"/>
  <c r="N43" i="2"/>
  <c r="M42" i="2"/>
  <c r="N42" i="2"/>
  <c r="M45" i="2"/>
  <c r="M35" i="2"/>
  <c r="N35" i="2"/>
  <c r="M23" i="2"/>
  <c r="N23" i="2"/>
  <c r="M22" i="2"/>
  <c r="N22" i="2"/>
  <c r="M21" i="2"/>
  <c r="N21" i="2"/>
  <c r="M20" i="2"/>
  <c r="N20" i="2"/>
  <c r="E20" i="2"/>
  <c r="M19" i="2"/>
  <c r="N19" i="2"/>
  <c r="E19" i="2"/>
  <c r="N34" i="2"/>
  <c r="M34" i="2"/>
  <c r="N33" i="2"/>
  <c r="M33" i="2"/>
  <c r="E34" i="2"/>
  <c r="E33" i="2"/>
  <c r="M18" i="2"/>
  <c r="N18" i="2"/>
  <c r="E18" i="2"/>
  <c r="E17" i="2"/>
  <c r="E16" i="2"/>
  <c r="J17" i="2"/>
  <c r="M17" i="2" s="1"/>
  <c r="M16" i="2"/>
  <c r="N16" i="2"/>
  <c r="J14" i="2"/>
  <c r="N14" i="2" s="1"/>
  <c r="N13" i="2" s="1"/>
  <c r="M52" i="2" l="1"/>
  <c r="M195" i="2"/>
  <c r="H228" i="2"/>
  <c r="J13" i="9"/>
  <c r="M147" i="2"/>
  <c r="F195" i="2"/>
  <c r="N195" i="2"/>
  <c r="N228" i="2"/>
  <c r="H339" i="2"/>
  <c r="H336" i="2" s="1"/>
  <c r="G147" i="2"/>
  <c r="F228" i="2"/>
  <c r="N258" i="2"/>
  <c r="K15" i="9"/>
  <c r="K66" i="9"/>
  <c r="K32" i="9" s="1"/>
  <c r="K12" i="9" s="1"/>
  <c r="H129" i="9"/>
  <c r="E129" i="9"/>
  <c r="L129" i="9"/>
  <c r="K195" i="9"/>
  <c r="L276" i="9"/>
  <c r="L147" i="2"/>
  <c r="H246" i="2"/>
  <c r="G195" i="9"/>
  <c r="N247" i="9"/>
  <c r="N276" i="9"/>
  <c r="J162" i="9"/>
  <c r="M162" i="9" s="1"/>
  <c r="N162" i="9" s="1"/>
  <c r="N291" i="9"/>
  <c r="N288" i="9" s="1"/>
  <c r="M67" i="2"/>
  <c r="H152" i="2"/>
  <c r="E152" i="2" s="1"/>
  <c r="E151" i="2" s="1"/>
  <c r="F160" i="2"/>
  <c r="F157" i="2" s="1"/>
  <c r="N49" i="9"/>
  <c r="M67" i="9"/>
  <c r="H160" i="9"/>
  <c r="H157" i="9" s="1"/>
  <c r="I32" i="2"/>
  <c r="E25" i="2"/>
  <c r="E24" i="2"/>
  <c r="K15" i="2"/>
  <c r="I212" i="2"/>
  <c r="I195" i="2" s="1"/>
  <c r="K195" i="2"/>
  <c r="G195" i="2"/>
  <c r="N263" i="2"/>
  <c r="J276" i="2"/>
  <c r="I306" i="2"/>
  <c r="I303" i="2" s="1"/>
  <c r="N291" i="2"/>
  <c r="N288" i="2" s="1"/>
  <c r="M24" i="9"/>
  <c r="M15" i="9" s="1"/>
  <c r="N48" i="9"/>
  <c r="F228" i="9"/>
  <c r="J228" i="9"/>
  <c r="N228" i="9"/>
  <c r="H228" i="9"/>
  <c r="K246" i="9"/>
  <c r="I246" i="9"/>
  <c r="H137" i="2"/>
  <c r="E55" i="2"/>
  <c r="G13" i="2"/>
  <c r="E48" i="2"/>
  <c r="K147" i="2"/>
  <c r="I246" i="2"/>
  <c r="H278" i="2"/>
  <c r="M276" i="2"/>
  <c r="F276" i="2"/>
  <c r="M14" i="9"/>
  <c r="M13" i="9" s="1"/>
  <c r="N262" i="9"/>
  <c r="I147" i="9"/>
  <c r="M147" i="9"/>
  <c r="G228" i="9"/>
  <c r="G306" i="9"/>
  <c r="G303" i="9" s="1"/>
  <c r="L339" i="9"/>
  <c r="L336" i="9" s="1"/>
  <c r="N50" i="2"/>
  <c r="L129" i="2"/>
  <c r="E195" i="2"/>
  <c r="N258" i="9"/>
  <c r="F160" i="9"/>
  <c r="F157" i="9" s="1"/>
  <c r="M51" i="2"/>
  <c r="N48" i="2"/>
  <c r="M49" i="2"/>
  <c r="M60" i="2"/>
  <c r="J162" i="2"/>
  <c r="G160" i="2"/>
  <c r="G157" i="2" s="1"/>
  <c r="L160" i="2"/>
  <c r="L157" i="2" s="1"/>
  <c r="G228" i="2"/>
  <c r="E228" i="2"/>
  <c r="L247" i="2"/>
  <c r="K246" i="2"/>
  <c r="L255" i="2"/>
  <c r="L339" i="2"/>
  <c r="L336" i="2" s="1"/>
  <c r="H345" i="2"/>
  <c r="H342" i="2" s="1"/>
  <c r="G160" i="9"/>
  <c r="G157" i="9" s="1"/>
  <c r="G13" i="9"/>
  <c r="J147" i="9"/>
  <c r="L183" i="9"/>
  <c r="L180" i="9" s="1"/>
  <c r="I228" i="9"/>
  <c r="M228" i="9"/>
  <c r="E246" i="9"/>
  <c r="J276" i="9"/>
  <c r="H339" i="9"/>
  <c r="H336" i="9" s="1"/>
  <c r="L276" i="2"/>
  <c r="F15" i="2"/>
  <c r="N147" i="2"/>
  <c r="H282" i="9"/>
  <c r="J32" i="2"/>
  <c r="I147" i="2"/>
  <c r="N262" i="2"/>
  <c r="F246" i="2"/>
  <c r="J246" i="2"/>
  <c r="L291" i="2"/>
  <c r="L288" i="2" s="1"/>
  <c r="J15" i="9"/>
  <c r="N17" i="9"/>
  <c r="N15" i="9" s="1"/>
  <c r="M51" i="9"/>
  <c r="L147" i="9"/>
  <c r="K228" i="9"/>
  <c r="J246" i="9"/>
  <c r="H246" i="9"/>
  <c r="E276" i="9"/>
  <c r="H345" i="9"/>
  <c r="H342" i="9" s="1"/>
  <c r="S12" i="7"/>
  <c r="H212" i="2"/>
  <c r="H195" i="2" s="1"/>
  <c r="M52" i="9"/>
  <c r="N52" i="9"/>
  <c r="I12" i="2"/>
  <c r="F32" i="2"/>
  <c r="F12" i="2" s="1"/>
  <c r="H32" i="2"/>
  <c r="H12" i="2" s="1"/>
  <c r="N247" i="2"/>
  <c r="I276" i="2"/>
  <c r="K276" i="9"/>
  <c r="M14" i="2"/>
  <c r="M13" i="2" s="1"/>
  <c r="N17" i="2"/>
  <c r="J15" i="2"/>
  <c r="N46" i="2"/>
  <c r="H129" i="2"/>
  <c r="E129" i="2"/>
  <c r="J228" i="2"/>
  <c r="L228" i="2"/>
  <c r="M247" i="2"/>
  <c r="G255" i="2"/>
  <c r="G246" i="2" s="1"/>
  <c r="M256" i="2"/>
  <c r="M255" i="2" s="1"/>
  <c r="H282" i="2"/>
  <c r="H328" i="2"/>
  <c r="H306" i="2" s="1"/>
  <c r="H303" i="2" s="1"/>
  <c r="K306" i="2"/>
  <c r="K303" i="2" s="1"/>
  <c r="H149" i="9"/>
  <c r="F148" i="9"/>
  <c r="F147" i="9" s="1"/>
  <c r="J160" i="9"/>
  <c r="J157" i="9" s="1"/>
  <c r="T12" i="7"/>
  <c r="M15" i="2"/>
  <c r="L32" i="2"/>
  <c r="L12" i="2" s="1"/>
  <c r="N276" i="2"/>
  <c r="G276" i="2"/>
  <c r="N161" i="9"/>
  <c r="N160" i="9" s="1"/>
  <c r="N157" i="9" s="1"/>
  <c r="M160" i="9"/>
  <c r="M157" i="9" s="1"/>
  <c r="M45" i="9"/>
  <c r="N45" i="9"/>
  <c r="G54" i="9"/>
  <c r="E54" i="9" s="1"/>
  <c r="H151" i="9"/>
  <c r="N256" i="9"/>
  <c r="M256" i="9"/>
  <c r="G255" i="9"/>
  <c r="G246" i="9" s="1"/>
  <c r="P12" i="7"/>
  <c r="L183" i="2"/>
  <c r="L180" i="2" s="1"/>
  <c r="J195" i="2"/>
  <c r="L212" i="2"/>
  <c r="L195" i="2" s="1"/>
  <c r="M228" i="2"/>
  <c r="K228" i="2"/>
  <c r="K291" i="2"/>
  <c r="K288" i="2" s="1"/>
  <c r="G291" i="2"/>
  <c r="G288" i="2" s="1"/>
  <c r="H12" i="7"/>
  <c r="E48" i="9"/>
  <c r="I32" i="9"/>
  <c r="K147" i="9"/>
  <c r="J195" i="9"/>
  <c r="H212" i="9"/>
  <c r="H195" i="9" s="1"/>
  <c r="F276" i="9"/>
  <c r="H278" i="9"/>
  <c r="G276" i="9"/>
  <c r="I306" i="9"/>
  <c r="I303" i="9" s="1"/>
  <c r="K306" i="9"/>
  <c r="K303" i="9" s="1"/>
  <c r="L32" i="9"/>
  <c r="H137" i="9"/>
  <c r="N147" i="9"/>
  <c r="G147" i="9"/>
  <c r="E152" i="9"/>
  <c r="E151" i="9" s="1"/>
  <c r="E195" i="9"/>
  <c r="M195" i="9"/>
  <c r="I212" i="9"/>
  <c r="I195" i="9" s="1"/>
  <c r="J13" i="7"/>
  <c r="J12" i="7" s="1"/>
  <c r="E24" i="9"/>
  <c r="E15" i="9" s="1"/>
  <c r="I12" i="9"/>
  <c r="L195" i="9"/>
  <c r="F195" i="9"/>
  <c r="M247" i="9"/>
  <c r="F246" i="9"/>
  <c r="K32" i="2"/>
  <c r="K12" i="2" s="1"/>
  <c r="H160" i="2"/>
  <c r="H157" i="2" s="1"/>
  <c r="G32" i="2"/>
  <c r="E66" i="2"/>
  <c r="F148" i="2"/>
  <c r="F147" i="2" s="1"/>
  <c r="G55" i="9"/>
  <c r="F32" i="9"/>
  <c r="E22" i="2"/>
  <c r="E35" i="2"/>
  <c r="E54" i="2"/>
  <c r="N24" i="2"/>
  <c r="N15" i="2" s="1"/>
  <c r="E104" i="2"/>
  <c r="L160" i="9"/>
  <c r="L157" i="9" s="1"/>
  <c r="L247" i="9"/>
  <c r="L291" i="9"/>
  <c r="L288" i="9" s="1"/>
  <c r="G47" i="9"/>
  <c r="E47" i="9" s="1"/>
  <c r="H32" i="9"/>
  <c r="J13" i="2"/>
  <c r="F291" i="2"/>
  <c r="F288" i="2" s="1"/>
  <c r="G15" i="9"/>
  <c r="E149" i="2"/>
  <c r="E148" i="2" s="1"/>
  <c r="F15" i="9"/>
  <c r="H15" i="9"/>
  <c r="N46" i="9"/>
  <c r="L255" i="9"/>
  <c r="M263" i="9"/>
  <c r="H302" i="2"/>
  <c r="H291" i="2" s="1"/>
  <c r="H288" i="2" s="1"/>
  <c r="J32" i="9"/>
  <c r="L15" i="9"/>
  <c r="L12" i="9" s="1"/>
  <c r="N50" i="9"/>
  <c r="F291" i="9"/>
  <c r="F288" i="9" s="1"/>
  <c r="H298" i="9"/>
  <c r="H291" i="9" s="1"/>
  <c r="H288" i="9" s="1"/>
  <c r="H306" i="9"/>
  <c r="H303" i="9" s="1"/>
  <c r="O32" i="10"/>
  <c r="U31" i="10"/>
  <c r="K13" i="10"/>
  <c r="R15" i="10"/>
  <c r="R13" i="10" s="1"/>
  <c r="K28" i="10"/>
  <c r="K25" i="10" s="1"/>
  <c r="K24" i="10" s="1"/>
  <c r="R28" i="10"/>
  <c r="R25" i="10" s="1"/>
  <c r="R24" i="10" s="1"/>
  <c r="N13" i="10"/>
  <c r="N25" i="10"/>
  <c r="N24" i="10" s="1"/>
  <c r="L25" i="10"/>
  <c r="L24" i="10" s="1"/>
  <c r="L12" i="10" s="1"/>
  <c r="N18" i="10"/>
  <c r="I25" i="10"/>
  <c r="I24" i="10" s="1"/>
  <c r="I12" i="10" s="1"/>
  <c r="O25" i="10"/>
  <c r="P25" i="10"/>
  <c r="P24" i="10" s="1"/>
  <c r="M25" i="10"/>
  <c r="M24" i="10" s="1"/>
  <c r="M12" i="10" s="1"/>
  <c r="H25" i="10"/>
  <c r="H24" i="10" s="1"/>
  <c r="H12" i="10" s="1"/>
  <c r="P13" i="10"/>
  <c r="N255" i="2" l="1"/>
  <c r="H276" i="2"/>
  <c r="I128" i="9"/>
  <c r="H151" i="2"/>
  <c r="H147" i="2" s="1"/>
  <c r="H128" i="2" s="1"/>
  <c r="H11" i="2" s="1"/>
  <c r="M32" i="9"/>
  <c r="M12" i="9" s="1"/>
  <c r="J12" i="2"/>
  <c r="E147" i="2"/>
  <c r="E128" i="2" s="1"/>
  <c r="L246" i="2"/>
  <c r="L128" i="2" s="1"/>
  <c r="L11" i="2" s="1"/>
  <c r="I128" i="2"/>
  <c r="E15" i="2"/>
  <c r="K128" i="2"/>
  <c r="K11" i="2" s="1"/>
  <c r="G12" i="2"/>
  <c r="J12" i="9"/>
  <c r="N32" i="2"/>
  <c r="G128" i="9"/>
  <c r="M32" i="2"/>
  <c r="M12" i="2" s="1"/>
  <c r="N255" i="9"/>
  <c r="N246" i="9" s="1"/>
  <c r="N128" i="9" s="1"/>
  <c r="K12" i="10"/>
  <c r="F128" i="9"/>
  <c r="E32" i="2"/>
  <c r="E12" i="2" s="1"/>
  <c r="H276" i="9"/>
  <c r="J128" i="9"/>
  <c r="J11" i="9" s="1"/>
  <c r="J160" i="2"/>
  <c r="J157" i="2" s="1"/>
  <c r="J128" i="2" s="1"/>
  <c r="J11" i="2" s="1"/>
  <c r="M162" i="2"/>
  <c r="N12" i="2"/>
  <c r="I11" i="9"/>
  <c r="G128" i="2"/>
  <c r="M255" i="9"/>
  <c r="M246" i="9" s="1"/>
  <c r="M128" i="9" s="1"/>
  <c r="M11" i="9" s="1"/>
  <c r="G32" i="9"/>
  <c r="G12" i="9" s="1"/>
  <c r="K128" i="9"/>
  <c r="K11" i="9" s="1"/>
  <c r="M246" i="2"/>
  <c r="N246" i="2"/>
  <c r="F12" i="9"/>
  <c r="I11" i="2"/>
  <c r="H148" i="9"/>
  <c r="H147" i="9" s="1"/>
  <c r="E149" i="9"/>
  <c r="E148" i="9" s="1"/>
  <c r="E147" i="9" s="1"/>
  <c r="E128" i="9" s="1"/>
  <c r="N32" i="9"/>
  <c r="N12" i="9" s="1"/>
  <c r="L246" i="9"/>
  <c r="L128" i="9" s="1"/>
  <c r="L11" i="9" s="1"/>
  <c r="E55" i="9"/>
  <c r="E32" i="9" s="1"/>
  <c r="E12" i="9" s="1"/>
  <c r="E11" i="9" s="1"/>
  <c r="H12" i="9"/>
  <c r="F128" i="2"/>
  <c r="F11" i="2" s="1"/>
  <c r="O24" i="10"/>
  <c r="O12" i="10" s="1"/>
  <c r="R12" i="10"/>
  <c r="N12" i="10"/>
  <c r="P12" i="10"/>
  <c r="C7" i="11" s="1"/>
  <c r="F11" i="9" l="1"/>
  <c r="E11" i="2"/>
  <c r="G11" i="9"/>
  <c r="G11" i="2"/>
  <c r="N11" i="9"/>
  <c r="N162" i="2"/>
  <c r="N160" i="2" s="1"/>
  <c r="N157" i="2" s="1"/>
  <c r="N128" i="2" s="1"/>
  <c r="N11" i="2" s="1"/>
  <c r="M160" i="2"/>
  <c r="M157" i="2" s="1"/>
  <c r="M128" i="2" s="1"/>
  <c r="M11" i="2" s="1"/>
  <c r="H128" i="9"/>
  <c r="H11" i="9" s="1"/>
  <c r="C6" i="11"/>
  <c r="F9" i="11" s="1"/>
</calcChain>
</file>

<file path=xl/comments1.xml><?xml version="1.0" encoding="utf-8"?>
<comments xmlns="http://schemas.openxmlformats.org/spreadsheetml/2006/main">
  <authors>
    <author>Author</author>
  </authors>
  <commentList>
    <comment ref="K29" authorId="0">
      <text>
        <r>
          <rPr>
            <b/>
            <sz val="9"/>
            <color indexed="81"/>
            <rFont val="Tahoma"/>
            <family val="2"/>
          </rPr>
          <t>Author:</t>
        </r>
        <r>
          <rPr>
            <sz val="9"/>
            <color indexed="81"/>
            <rFont val="Tahoma"/>
            <family val="2"/>
          </rPr>
          <t xml:space="preserve">
Xem lại nguồn đã bố trí</t>
        </r>
      </text>
    </comment>
  </commentList>
</comments>
</file>

<file path=xl/comments2.xml><?xml version="1.0" encoding="utf-8"?>
<comments xmlns="http://schemas.openxmlformats.org/spreadsheetml/2006/main">
  <authors>
    <author>Author</author>
  </authors>
  <commentList>
    <comment ref="N28" authorId="0">
      <text>
        <r>
          <rPr>
            <b/>
            <sz val="9"/>
            <color indexed="81"/>
            <rFont val="Tahoma"/>
            <family val="2"/>
          </rPr>
          <t>Author:</t>
        </r>
        <r>
          <rPr>
            <sz val="9"/>
            <color indexed="81"/>
            <rFont val="Tahoma"/>
            <family val="2"/>
          </rPr>
          <t xml:space="preserve">
Tăng thu 2020 chuyển sang</t>
        </r>
      </text>
    </comment>
    <comment ref="V33" authorId="0">
      <text>
        <r>
          <rPr>
            <b/>
            <sz val="9"/>
            <color indexed="81"/>
            <rFont val="Tahoma"/>
            <family val="2"/>
          </rPr>
          <t>Author:</t>
        </r>
        <r>
          <rPr>
            <sz val="9"/>
            <color indexed="81"/>
            <rFont val="Tahoma"/>
            <family val="2"/>
          </rPr>
          <t xml:space="preserve">
Xem lại</t>
        </r>
      </text>
    </comment>
    <comment ref="Y33" authorId="0">
      <text>
        <r>
          <rPr>
            <b/>
            <sz val="9"/>
            <color indexed="81"/>
            <rFont val="Tahoma"/>
            <family val="2"/>
          </rPr>
          <t>Author:</t>
        </r>
        <r>
          <rPr>
            <sz val="9"/>
            <color indexed="81"/>
            <rFont val="Tahoma"/>
            <family val="2"/>
          </rPr>
          <t xml:space="preserve">
Kiểm tra kế hoạch vốn</t>
        </r>
      </text>
    </comment>
    <comment ref="Y47" authorId="0">
      <text>
        <r>
          <rPr>
            <b/>
            <sz val="9"/>
            <color indexed="81"/>
            <rFont val="Tahoma"/>
            <family val="2"/>
          </rPr>
          <t>Author:</t>
        </r>
        <r>
          <rPr>
            <sz val="9"/>
            <color indexed="81"/>
            <rFont val="Tahoma"/>
            <family val="2"/>
          </rPr>
          <t xml:space="preserve">
Chuyển từ công trình HL 01 (QĐ 1965)</t>
        </r>
      </text>
    </comment>
    <comment ref="Y60" authorId="0">
      <text>
        <r>
          <rPr>
            <b/>
            <sz val="9"/>
            <color rgb="FF000000"/>
            <rFont val="Tahoma"/>
            <family val="2"/>
          </rPr>
          <t>Author:</t>
        </r>
        <r>
          <rPr>
            <sz val="9"/>
            <color rgb="FF000000"/>
            <rFont val="Tahoma"/>
            <family val="2"/>
          </rPr>
          <t xml:space="preserve">
</t>
        </r>
        <r>
          <rPr>
            <sz val="9"/>
            <color rgb="FF000000"/>
            <rFont val="Tahoma"/>
            <family val="2"/>
          </rPr>
          <t>nGUỒN SỰ NGHIỆP</t>
        </r>
      </text>
    </comment>
    <comment ref="Y61" authorId="0">
      <text>
        <r>
          <rPr>
            <b/>
            <sz val="9"/>
            <color rgb="FF000000"/>
            <rFont val="Tahoma"/>
            <family val="2"/>
          </rPr>
          <t>Author:</t>
        </r>
        <r>
          <rPr>
            <sz val="9"/>
            <color rgb="FF000000"/>
            <rFont val="Tahoma"/>
            <family val="2"/>
          </rPr>
          <t xml:space="preserve">
</t>
        </r>
        <r>
          <rPr>
            <sz val="9"/>
            <color rgb="FF000000"/>
            <rFont val="Tahoma"/>
            <family val="2"/>
          </rPr>
          <t>NGUỒN SỰ NGHIỆP</t>
        </r>
      </text>
    </comment>
    <comment ref="Y62" authorId="0">
      <text>
        <r>
          <rPr>
            <b/>
            <sz val="9"/>
            <color rgb="FF000000"/>
            <rFont val="Tahoma"/>
            <family val="2"/>
          </rPr>
          <t>Author:</t>
        </r>
        <r>
          <rPr>
            <sz val="9"/>
            <color rgb="FF000000"/>
            <rFont val="Tahoma"/>
            <family val="2"/>
          </rPr>
          <t xml:space="preserve">
</t>
        </r>
        <r>
          <rPr>
            <sz val="9"/>
            <color rgb="FF000000"/>
            <rFont val="Tahoma"/>
            <family val="2"/>
          </rPr>
          <t>Dự kiến nguồn kết dư</t>
        </r>
      </text>
    </comment>
  </commentList>
</comments>
</file>

<file path=xl/sharedStrings.xml><?xml version="1.0" encoding="utf-8"?>
<sst xmlns="http://schemas.openxmlformats.org/spreadsheetml/2006/main" count="3018" uniqueCount="1131">
  <si>
    <t>Đơn vị: Triệu đồng</t>
  </si>
  <si>
    <t>STT</t>
  </si>
  <si>
    <t>Danh mục dự án</t>
  </si>
  <si>
    <t>Địa điểm xây dựng</t>
  </si>
  <si>
    <t>Quy mô đầu tư, năng lực thiết kế</t>
  </si>
  <si>
    <t>Thời gian KC-HT</t>
  </si>
  <si>
    <t>Quyết định đầu tư</t>
  </si>
  <si>
    <t>Lũy kế vốn bố trí từ khởi công đến hết năm 2020</t>
  </si>
  <si>
    <t>Nhu cầu đầu tư 5 năm giai đoạn từ năm 2021 đến năm 2025</t>
  </si>
  <si>
    <t>Dự kiến kế hoạch 5 năm giai đoạn từ năm 2021 đến năm 2025</t>
  </si>
  <si>
    <t>Số quyết định; ngày, tháng, năm ban hành</t>
  </si>
  <si>
    <t>Cơ quan quyết định đầu tư</t>
  </si>
  <si>
    <t xml:space="preserve">TMĐT </t>
  </si>
  <si>
    <t>Tổng số (tất cả các nguồn vốn)</t>
  </si>
  <si>
    <t>Trong đó:</t>
  </si>
  <si>
    <t>Ngân sách huyện</t>
  </si>
  <si>
    <t>Các nguồn vốn khác</t>
  </si>
  <si>
    <t>NS TW, tỉnh</t>
  </si>
  <si>
    <t>TỔNG CỘNG</t>
  </si>
  <si>
    <t>A</t>
  </si>
  <si>
    <t>I</t>
  </si>
  <si>
    <t>1</t>
  </si>
  <si>
    <t>Xã Cương Gián</t>
  </si>
  <si>
    <t>II</t>
  </si>
  <si>
    <t>3</t>
  </si>
  <si>
    <t>4</t>
  </si>
  <si>
    <t>5</t>
  </si>
  <si>
    <t>6</t>
  </si>
  <si>
    <t>2</t>
  </si>
  <si>
    <t>B</t>
  </si>
  <si>
    <t>Công trình đã hoàn thành đưa vào sử dụng trước 31/12/2020</t>
  </si>
  <si>
    <t>Công trình chuyển tiếp sang giai đoạn 2021-2025</t>
  </si>
  <si>
    <t>Trụ sở làm việc Đảng ủy, HĐND, UBMTTQ thị trấn Xuân An</t>
  </si>
  <si>
    <t>2020-2021</t>
  </si>
  <si>
    <t>UBND huyện</t>
  </si>
  <si>
    <t>TT Xuân An</t>
  </si>
  <si>
    <t xml:space="preserve">UBND huyện </t>
  </si>
  <si>
    <t>TT Tiên Điền</t>
  </si>
  <si>
    <t>Xã Đan Trường</t>
  </si>
  <si>
    <t>Xã Xuân Viên</t>
  </si>
  <si>
    <t>Xã Cổ Đạm</t>
  </si>
  <si>
    <t>Xã Xuân Hồng</t>
  </si>
  <si>
    <t>Xã Xuân Giang</t>
  </si>
  <si>
    <t>Xã Xuân Hải</t>
  </si>
  <si>
    <t>Xã Xuân Mỹ</t>
  </si>
  <si>
    <t>Xã Xuân Liên</t>
  </si>
  <si>
    <t>Xã Xuân Lam</t>
  </si>
  <si>
    <t>7</t>
  </si>
  <si>
    <t>Cấp III</t>
  </si>
  <si>
    <t>8</t>
  </si>
  <si>
    <t>9</t>
  </si>
  <si>
    <t>10</t>
  </si>
  <si>
    <t>Xã Xuân Lĩnh</t>
  </si>
  <si>
    <t>11</t>
  </si>
  <si>
    <t>2 tầng 8 phòng; cấp III</t>
  </si>
  <si>
    <t>12</t>
  </si>
  <si>
    <t>13</t>
  </si>
  <si>
    <t>14</t>
  </si>
  <si>
    <t>15</t>
  </si>
  <si>
    <t>16</t>
  </si>
  <si>
    <t>17</t>
  </si>
  <si>
    <t>18</t>
  </si>
  <si>
    <t>19</t>
  </si>
  <si>
    <t>20</t>
  </si>
  <si>
    <t>21</t>
  </si>
  <si>
    <t>22</t>
  </si>
  <si>
    <t>23</t>
  </si>
  <si>
    <t>24</t>
  </si>
  <si>
    <t>25</t>
  </si>
  <si>
    <t>26</t>
  </si>
  <si>
    <t>27</t>
  </si>
  <si>
    <t>28</t>
  </si>
  <si>
    <t>29</t>
  </si>
  <si>
    <t>30</t>
  </si>
  <si>
    <t>Cấp IV</t>
  </si>
  <si>
    <t>31</t>
  </si>
  <si>
    <t>32</t>
  </si>
  <si>
    <t>33</t>
  </si>
  <si>
    <t>34</t>
  </si>
  <si>
    <t>35</t>
  </si>
  <si>
    <t>36</t>
  </si>
  <si>
    <t>37</t>
  </si>
  <si>
    <t>38</t>
  </si>
  <si>
    <t>39</t>
  </si>
  <si>
    <t>40</t>
  </si>
  <si>
    <t>41</t>
  </si>
  <si>
    <t>42</t>
  </si>
  <si>
    <t>43</t>
  </si>
  <si>
    <t>44</t>
  </si>
  <si>
    <t>45</t>
  </si>
  <si>
    <t>46</t>
  </si>
  <si>
    <t>Xã Xuân Hội</t>
  </si>
  <si>
    <t>47</t>
  </si>
  <si>
    <t>48</t>
  </si>
  <si>
    <t>49</t>
  </si>
  <si>
    <t>50</t>
  </si>
  <si>
    <t>51</t>
  </si>
  <si>
    <t>Nhà đa năng trường THPT Nghi Xuân</t>
  </si>
  <si>
    <t>III</t>
  </si>
  <si>
    <t>Xã Cổ Đạm, xã Xuân Liên</t>
  </si>
  <si>
    <t>IV</t>
  </si>
  <si>
    <t>PHỤ LỤC 1 - TÌNH HÌNH THỰC HIỆN NGUỒN VỐN ĐẦU TƯ CÔNG NGÂN SÁCH HUYỆN 2016-2020</t>
  </si>
  <si>
    <t>Số TT</t>
  </si>
  <si>
    <t xml:space="preserve">Danh mục dự án </t>
  </si>
  <si>
    <t>Thời gian khởi công - hoàn thành</t>
  </si>
  <si>
    <t xml:space="preserve">Quyết định đầu tư </t>
  </si>
  <si>
    <t>Kế hoạch vốn lũy kế
 đã bố trí đến nay</t>
  </si>
  <si>
    <t>Khối lượng ước thực hiện từ khởi công đến 31/12/2020</t>
  </si>
  <si>
    <t>Ước giá trị giải ngân từ khởi công đến 31/12/2020</t>
  </si>
  <si>
    <t>Ghi chú</t>
  </si>
  <si>
    <t>Số quyết định; ngày tháng năm ban hành</t>
  </si>
  <si>
    <t>Trong đó</t>
  </si>
  <si>
    <t>Tổng số</t>
  </si>
  <si>
    <t>NSTW, tỉnh</t>
  </si>
  <si>
    <t>Ngân sách khác</t>
  </si>
  <si>
    <t>giải ngân đến 30/9/2020</t>
  </si>
  <si>
    <t>ước thực hiện đến 31/12/2020</t>
  </si>
  <si>
    <t>Nâng cấp, cải tạo khuôn viên sân vận động UBND huyện Nghi Xuân</t>
  </si>
  <si>
    <t>1630/QĐ-UBND ngày 14/8/2015 của UBND huyện</t>
  </si>
  <si>
    <t>Cải tạo, sửa chữa Nhà làm việc 02 tầng thuộc UBMTTQ huyện Nghi Xuân</t>
  </si>
  <si>
    <t>2015-2016</t>
  </si>
  <si>
    <t>2453/QĐ-UBND ngày 25/11/2015  của UBND huyện</t>
  </si>
  <si>
    <t>Cổng chào huyện Nghi Xuân</t>
  </si>
  <si>
    <t>1629/QĐ-UBND ngày 14/8/2015 của UBND huyện</t>
  </si>
  <si>
    <t>Cổng chào trước Nhà văn hóa Nguyễn Du huyện Nghi Xuân</t>
  </si>
  <si>
    <t>2468/QĐ-UBND ngày 27/11/2015  của UBND huyện</t>
  </si>
  <si>
    <t>Nâng cấp, mở rộng tuyến đường vào Nghĩa trang Liệt sĩ huyện Nghi Xuân</t>
  </si>
  <si>
    <t>2016</t>
  </si>
  <si>
    <t>130/QĐ-UBND ngày 20/01/2016  của UBND huyện</t>
  </si>
  <si>
    <t>Hạ tầng kỹ thuật tuyến đường vào Nghĩa trang Liệt sỹ huyện Nghi Xuân, hạng mục: vỉa hè, điện chiếu sáng và cây xanh</t>
  </si>
  <si>
    <t>1469/QĐ-UBND ngày 29/5/2014 của UBND huyện</t>
  </si>
  <si>
    <t>Đường tránh lũ cho xã Xuân Hồng đi qua thị trấn Xuân An</t>
  </si>
  <si>
    <t xml:space="preserve">3936/QĐ-UBND ngày 12/12/2014 của UBND tỉnh </t>
  </si>
  <si>
    <t>Hạ tầng kỹ thuật vùng nuôi tôm trên cát tại các xã Xuân Đan - Xuân Phổ - Xuân Hải, huyện Nghi Xuân (giai đoạn 1)</t>
  </si>
  <si>
    <t>3248/QĐ-UBND ngày 29/10/2014 của UBND tỉnh</t>
  </si>
  <si>
    <t>Nhà làm việc 02 tầng phòng Giáo dục và Đào tạo huyện Nghi Xuân</t>
  </si>
  <si>
    <t xml:space="preserve">157/QĐ-UBND ngày 13/01/2015 của UBND tỉnh </t>
  </si>
  <si>
    <t>Nhà học 02 tầng 10 phòng Trường Mầm non Xuân Hồng</t>
  </si>
  <si>
    <t>1635/QĐ-UBND ngày 07/5/2015 của UBND tỉnh</t>
  </si>
  <si>
    <t>Sửa chữa, nâng cấp hồ chứa nước Xanh Nước xã Cương Gián</t>
  </si>
  <si>
    <t>2602/QĐ-UBND ngày 07/7/2015 của UBND tỉnh</t>
  </si>
  <si>
    <t>Dự án chuyển tiếp sang giai đoạn 2016-2020</t>
  </si>
  <si>
    <t xml:space="preserve">Nhà học 02 tầng 6 phòng Trường Tiểu học và THCS Xuân Lĩnh </t>
  </si>
  <si>
    <t xml:space="preserve">2757/QĐ-UBND ngày 16/7/2016 của UBND tỉnh </t>
  </si>
  <si>
    <t>2017</t>
  </si>
  <si>
    <t>Lắp đặt hệ thống Camera, huyện Nghi Xuân</t>
  </si>
  <si>
    <t xml:space="preserve">1556/QĐ-UBND ngày 18/5/2017 của UBND huyện </t>
  </si>
  <si>
    <t>Cải tạo, nâng cấp khuôn viên phòng Giáo dục và Đào tạo huyện Nghi Xuân</t>
  </si>
  <si>
    <t xml:space="preserve">2885/QĐ-UBND ngày 01/8/2017 của UBND huyện </t>
  </si>
  <si>
    <t>Đèn trang trí trung tâm huyện Nghi Xuân</t>
  </si>
  <si>
    <t xml:space="preserve">2101/QĐ-UBND ngày 16/6/2017 của UBND huyện </t>
  </si>
  <si>
    <t>Đường vào khu tái định cư Đồng San xã Xuân Giang, huyện Nghi Xuân</t>
  </si>
  <si>
    <t xml:space="preserve">2886/QĐ-UBND ngày 01/8/2017 của UBND huyện </t>
  </si>
  <si>
    <t>Trung tâm hành chính công huyện Nghi Xuân</t>
  </si>
  <si>
    <t xml:space="preserve">5668/QĐ-UBND ngày 29/11/2017 của UBND huyện </t>
  </si>
  <si>
    <t>Nâng cấp đường trục chính xã Xuân Lam</t>
  </si>
  <si>
    <t>2017-2018</t>
  </si>
  <si>
    <t>3447/QĐ-UBND ngày 31/8/2017 của UBND huyện</t>
  </si>
  <si>
    <t>Nhà Thư viện và phòng bộ môn trường THCS Nguyễn Trãi</t>
  </si>
  <si>
    <t xml:space="preserve">3606/QĐ-UBND ngày 14/9/2017 của UBND huyện </t>
  </si>
  <si>
    <t>Trường Mầm non xã Xuân Đan, huyện Nghi Xuân</t>
  </si>
  <si>
    <t xml:space="preserve">2668/QĐ-UBND ngày 24/7/2017 của UBND huyện </t>
  </si>
  <si>
    <t>5601/QĐ-UBND ngày 23/11/2017 của UBND huyện</t>
  </si>
  <si>
    <t>Sửa chữa, nâng cấp tuyến đường Con Họ, xã Xuân Đan</t>
  </si>
  <si>
    <t>2014-2016</t>
  </si>
  <si>
    <t xml:space="preserve">3869/QĐ-UBND ngày 09/12/2014 của UBND tỉnh </t>
  </si>
  <si>
    <t>Đường giao thông nông thôn kết hợp vào khu trang trại chăn nuôi tập trung xã Xuân Viên</t>
  </si>
  <si>
    <t xml:space="preserve">4353/QĐ-UBND ngày 31/12/2014 của UBND tỉnh </t>
  </si>
  <si>
    <t>Nhà học 2 tầng 4 phòng Trường Mầm non xã Xuân Liên, huyện Nghi Xuân</t>
  </si>
  <si>
    <t xml:space="preserve">2393/QĐ-UBND ngày 06/7/2017 của UBND huyện </t>
  </si>
  <si>
    <t>Nhà hiệu bộ Trường Tiểu học xã Xuân Trường, huyện Nghi Xuân</t>
  </si>
  <si>
    <t xml:space="preserve">2657/QĐ-UBND ngày 20/7/2017 của UBND huyện </t>
  </si>
  <si>
    <t>Sửa chữa, nâng cấp nghĩa trang Liệt sĩ huyện Nghi Xuân. Hạng mục: Cải tạo ao sen, sân đường nội bộ</t>
  </si>
  <si>
    <t>2018</t>
  </si>
  <si>
    <t>92/QĐ-UBND ngày 08/01/2018 của UBND huyện</t>
  </si>
  <si>
    <t>Nhà làm việc 3 tầng UBND huyện Nghi Xuân</t>
  </si>
  <si>
    <t>674/QĐ-UBND ngày 07/02/2018 của UBND huyện</t>
  </si>
  <si>
    <t>Sửa chữa tràn thoát lũ hồ Đồng Ván xã Xuân Hồng, huyện Nghi Xuân</t>
  </si>
  <si>
    <t xml:space="preserve">5721/QĐ-UBND ngày 04/12/2017 của UBND huyện </t>
  </si>
  <si>
    <t>Cải tạo, nâng cấp hệ thống các khu vệ sinh Nhà văn hóa Nguyễn Du, huyện Nghi Xuân</t>
  </si>
  <si>
    <t>3973/QĐ-UBND ngày 18/7/2018 của UBND huyện</t>
  </si>
  <si>
    <t>Tuyến đường nội vùng khu du lịch Xuân Thành, đoạn từ cầu Đông Hội đến sân Golf xã Xuân Thành</t>
  </si>
  <si>
    <t>3171/QĐ- UBND ngày 30/10/2017 của UBND tỉnh</t>
  </si>
  <si>
    <t>Nhà hiệu bộ Trường THCS Nguyễn Trãi, huyện Nghi Xuân</t>
  </si>
  <si>
    <t>3543/QĐ-UBND ngày 29/6/2018 của UBND huyện</t>
  </si>
  <si>
    <t>Đường giao thông trước cổng đền Huyện, huyện Nghi Xuân</t>
  </si>
  <si>
    <t>2018-2019</t>
  </si>
  <si>
    <t>6580/QĐ-UBND ngày 08/11/2018 của UBND huyện</t>
  </si>
  <si>
    <t>Tuyến đê hữu sông Lam</t>
  </si>
  <si>
    <t>2006-2016</t>
  </si>
  <si>
    <t>730/QĐ-UBND ngày 20/3/2007 của UBND tỉnh</t>
  </si>
  <si>
    <t>Nâng cấp đường Gia Lách đi Khu di tích Đại thi hào Nguyễn Du (Giai đoạn 2)</t>
  </si>
  <si>
    <t>2016-2020</t>
  </si>
  <si>
    <t xml:space="preserve">789/QĐ-UBND ngày 31/3/2016 của UBND tỉnh </t>
  </si>
  <si>
    <t>Cầu giao thông nông thôn thôn 4, xã Xuân Lam</t>
  </si>
  <si>
    <t xml:space="preserve">1369/QĐ-UBND ngày 08/5/2017 của UBND huyện </t>
  </si>
  <si>
    <t>Số vốn còn thiếu thuộc nguồn XHH</t>
  </si>
  <si>
    <t>Kiên cố hóa phòng học các Trường mầm non, tiểu học xã đặc biệt khó khăn, huyện Nghi Xuân</t>
  </si>
  <si>
    <t>1548/QĐ-UBND ngày 08/6/2017 của UBND tỉnh</t>
  </si>
  <si>
    <t>Tuyến đường huyện lộ 01 (Giang - Viên - Lĩnh), huyện Nghi Xuân;</t>
  </si>
  <si>
    <t>1508/QĐ-UBND ngày 03/4/2018 của UBND huyện</t>
  </si>
  <si>
    <t>Đập Đồng Bản, xã Xuân Liên</t>
  </si>
  <si>
    <t>3675/QĐ-UBND ngày 04/7/2018 của UBND huyện</t>
  </si>
  <si>
    <t>Nâng cấp tuyến đường giao thông liên xã Giang - Tiên, huyện Nghi Xuân (ĐH.26)</t>
  </si>
  <si>
    <t>5254/QĐ-UBND ngày 07/9/2018 của UBND huyện</t>
  </si>
  <si>
    <t>Lắp đặt các cụm đèn tín hiệu giao thông tại huyện Nghi Xuân</t>
  </si>
  <si>
    <t>2019</t>
  </si>
  <si>
    <t>3175/QĐ-UBND ngày 30/10/2017 của UBND tỉnh</t>
  </si>
  <si>
    <t>Khối phòng phục vụ học tập Trường Tiểu học xã Tiên Điền</t>
  </si>
  <si>
    <t>5897/QĐ-UBND ngày 04/10/2018 của UBND huyện</t>
  </si>
  <si>
    <t>Cải tạo, nâng cấp hội trường UBND huyện Nghi Xuân</t>
  </si>
  <si>
    <t>5452/QĐ-UBND ngày 14/9/2018  của UBND huyện</t>
  </si>
  <si>
    <t>Lắp đặt hệ thống điện trang trí tại huyện Nghi Xuân</t>
  </si>
  <si>
    <t>5850/QĐ-UBND ngày 02/10/2018 của UBND huyện</t>
  </si>
  <si>
    <t>Cống tiêu úng qua kênh thủy lợi Lam Hồng, xã Xuân Lam</t>
  </si>
  <si>
    <t>1496/QĐ-UBND ngày 08/4/2019 của UBND huyện</t>
  </si>
  <si>
    <t>Khối phòng Hành chính – Thư viện Trường THPT Nghi Xuân, huyện Nghi Xuân, tỉnh Hà Tĩnh</t>
  </si>
  <si>
    <t>2747/QĐ-UBND ngày 11/6/2019 của UBND huyện</t>
  </si>
  <si>
    <t>Nhà học 02 tầng 12 phòng Trường Tiểu học xã Xuân Giang</t>
  </si>
  <si>
    <t>2019-2020</t>
  </si>
  <si>
    <t>2922/QĐ-UBND ngày 25/6/2019 của UBND huyện</t>
  </si>
  <si>
    <t>Nâng cấp, cải tạo đường giao thông liên xã Tiên Yên (Huyện lộ HL12)</t>
  </si>
  <si>
    <t>2631/QĐ-UBND ngày 23/5/2019 của UBND huyện</t>
  </si>
  <si>
    <t>Lắp đặt hệ thống đèn trang trí trên trục đường Gia Lách đi Khu di tích Đại Thi Hào Nguyễn Du (đoạn qua địa bàn thị trấn Xuân An), huyện Nghi Xuân</t>
  </si>
  <si>
    <t>2735/QĐ-UBND ngày 07/6/2019  của UBND huyện</t>
  </si>
  <si>
    <t>Nhà Nguyễn Du (Thư viện văn hoá Đại thi hào Nguyễn Du), xã Tiên Điền, huyện Nghi Xuân</t>
  </si>
  <si>
    <t>3276/QĐ-UBND ngày 24/7/2019 của UBND huyện</t>
  </si>
  <si>
    <t>Cải tạo Khu vực 2 Trụ sở làm việc UBND huyện Nghi Xuân</t>
  </si>
  <si>
    <t>3520/QĐ-UBND ngày 07/8/2019 của UBND huyện</t>
  </si>
  <si>
    <t>Nâng cấp tuyến đường giao thông liên xã Viên - Lĩnh, huyện Nghi Xuân</t>
  </si>
  <si>
    <t>3058/QĐ-UBND ngày 11/10/2018 của UBND tỉnh</t>
  </si>
  <si>
    <t>Nhà cầu lông, nhà vệ sinh và các hạng mục phụ trợ Trụ sở UBND huyện Nghi Xuân</t>
  </si>
  <si>
    <t>2556/QĐ-UBND ngày 14/5/2019 của UBND huyện</t>
  </si>
  <si>
    <t>Lắp đặt hệ thống điện trang trí trên tuyến đường Gia Lách đi Khu di tích Đại thi hào Nguyễn Du (đoạn từ xã Xuân Giang đến xã Tiên Điền)</t>
  </si>
  <si>
    <t>4499/QĐ-UBND ngày 23/10/2019 của UBND huyện</t>
  </si>
  <si>
    <t>Cầu Trộ Su, thôn Thành Long, xã Xuân Thành</t>
  </si>
  <si>
    <t>4255/QĐ-UBND ngày 08/10/2019 của UBND huyện</t>
  </si>
  <si>
    <t>Nhà học 02 tầng 8 phòng và các hạng mục phụ trợ Trường mầm non Xuân An (Phân hiệu 1)</t>
  </si>
  <si>
    <t>4572/QĐ-UBND ngày 25/10/2019 của UBND huyện</t>
  </si>
  <si>
    <t>Nhà học 02 tầng 8 phòng Trường Tiểu học Xuân Liên</t>
  </si>
  <si>
    <t>4501/QĐ-UBND ngày 23/10/2019 của UBND huyện</t>
  </si>
  <si>
    <t>Nâng cấp tuyến đường giao thông từ ĐT547 đi Hồ chứa nước Xuân Hoa, xã Cổ Đạm, huyện Nghi Xuân</t>
  </si>
  <si>
    <t>4229/QĐ-UBND ngày 03/10/2019 của UBND huyện</t>
  </si>
  <si>
    <t>Nhà học 2 tầng 8 phòng, nhà bếp + ăn và các hạng mục phụ trợ Trường mầm non Xuân An (Phân hiệu 2)</t>
  </si>
  <si>
    <t>4580/QĐ-UBND ngày 25/10/2019 của UBND huyện</t>
  </si>
  <si>
    <t xml:space="preserve">Hệ thống điện chiếu sáng trên tuyến đường Gia Lách đi Khu di tích Đại thi hào Nguyễn Du </t>
  </si>
  <si>
    <t>2020</t>
  </si>
  <si>
    <t>4383/QĐ-UBND ngày 17/10/2019 của UBND huyện</t>
  </si>
  <si>
    <t>Cải tạo nâng cấp tuyến đường giao thông liên xã Tiên Điền Xuân Yên</t>
  </si>
  <si>
    <t>2011-2019</t>
  </si>
  <si>
    <t>Số 3268/QĐ-UBND ngày 12/11/2010 của UBND tỉnh</t>
  </si>
  <si>
    <t>Sữa chữa nâng cấp Đập Đồng Trày, xã Xuân Viên</t>
  </si>
  <si>
    <t>2011-2021</t>
  </si>
  <si>
    <t>2004/QĐ-UBND ngày 30/6/2020 của UBND tỉnh</t>
  </si>
  <si>
    <t>Cải tạo Nhà văn hoá Nguyễn Du</t>
  </si>
  <si>
    <t>983/QĐ-UBND ngày 18/5/2020 của UBND huyện</t>
  </si>
  <si>
    <t>Cải tạo, nâng cấp khuôn viên Đình Hoa Vân Hải - Nơi thành lập Chi bộ Đảng đầu tiên của huyện Nghi Xuân</t>
  </si>
  <si>
    <t>1203/QĐ-UBND ngày 09/6/2020  của UBND huyện</t>
  </si>
  <si>
    <t>Nhà làm việc, nhà giao dịch 01 cửa và các hạng mục phụ trợ Trụ sở UBND xã Xuân Hồng</t>
  </si>
  <si>
    <t>3766/QĐ-UBND ngày 27/8/2019 của UBND huyện</t>
  </si>
  <si>
    <t>Nâng cấp, mở rộng tuyến trục xã 10, thị trấn Tiên Điền</t>
  </si>
  <si>
    <t>791/QĐ- UBND ngày 23/04/2020 của UBND  huyện</t>
  </si>
  <si>
    <t>Nâng cấp tuyến đường liên xã Xuân Hải đi Xuân Phổ (đoạn từ cảng Xuân Hải đi Cảnh sát biển)</t>
  </si>
  <si>
    <t>970/QĐ-UBND ngày 12/5/2020 của UBND huyện</t>
  </si>
  <si>
    <t>Nhà đa năng Trường THPT Nguyễn Du</t>
  </si>
  <si>
    <t>792/QĐ- UBND ngày 23/04/2020 của UBND  huyện</t>
  </si>
  <si>
    <t>Nhà học 3 tầng và các hạng mục phụ trợ Trường THPT Nguyễn Công Trứ</t>
  </si>
  <si>
    <t>985/QĐ-UBND ngày 18/5/2020 của UBND huyện</t>
  </si>
  <si>
    <t>Hệ thống tiêu thoát nước xã Xuân Giang đoạn cầu sắt đến đền Huyện</t>
  </si>
  <si>
    <t>1222/QĐ-UBND  ngày 11/6/2020  của UBND huyện</t>
  </si>
  <si>
    <t>Cải tạo, nâng cấp các tuyến đường nội thị thị trấn Tiên Điền, huyện Nghi Xuân</t>
  </si>
  <si>
    <t>1257/QĐ-UBND ngày 17/6/2020  của UBND huyện</t>
  </si>
  <si>
    <t>Nhà phụ trợ, gara 2 tầng; cải tạo nhà bếp Huyện ủy Nghi Xuân</t>
  </si>
  <si>
    <t>1151/QĐ-UBND ngày 02/6/2020 của UBND huyện</t>
  </si>
  <si>
    <t>Nhà đa năng Trường THCS Nguyễn Trãi</t>
  </si>
  <si>
    <t>1133/QĐ-UBND ngày 27/5/2020 của UBND huyện</t>
  </si>
  <si>
    <t>Nhà học 02 tầng 06 phòng Trường mầm non Xuân Thành, huyện Nghi Xuân</t>
  </si>
  <si>
    <t>1482/QĐ-UBND ngày 14/7/2020 của UBND huyện</t>
  </si>
  <si>
    <t>Nhà làm việc 02 tầng Trung tâm bồi dưỡng chính trị huyện Nghi Xuân</t>
  </si>
  <si>
    <t>1334/QĐ-UBND ngày 29/6/2020  của UBND huyện</t>
  </si>
  <si>
    <t xml:space="preserve">Cải tạo nhà 3 tầng Trụ sở Ủy ban nhân dân huyện Nghi Xuân 
và các hạng mục phụ trợ 
</t>
  </si>
  <si>
    <t>1483/QĐ-UBND ngày 14/7/2020 của UBND huyện</t>
  </si>
  <si>
    <t>Chỉnh trang hệ thống điện Trung thế 35kV trên tuyến đường Gia Lách đi khu di tích Đại thi hào Nguyễn Du</t>
  </si>
  <si>
    <t>2582/QĐ-UBND ngày 15/9/2020 của UBND huyện</t>
  </si>
  <si>
    <t>Nhà học 02 tầng 8 phòng Trường Mầm non xã Xuân Lĩnh</t>
  </si>
  <si>
    <t>984/QĐ-UBND ngày 18/5/2020 của UBND huyện</t>
  </si>
  <si>
    <t>Nhà học 02 tầng 8 phòng Trường Tiểu học xã Xuân Hồng</t>
  </si>
  <si>
    <t>973/QĐ-UBND ngày 13/5/2020 của UBND huyện</t>
  </si>
  <si>
    <t xml:space="preserve">Khắc phục, sửa chữa hồ Khe Làng, xã Xuân Hồng, huyện Nghi Xuân </t>
  </si>
  <si>
    <t xml:space="preserve">2393/QĐ-UBND ngày 29/7/2020 của UBND huyện </t>
  </si>
  <si>
    <t>Nâng cấp tuyến đường giao thông liên xã Hải - Yên - Thành huyện Nghi Xuân (ĐH.25)</t>
  </si>
  <si>
    <t>1127/QĐ-UBND ngày 07/4/2020 của UBND tỉnh</t>
  </si>
  <si>
    <t>4233/QĐ-UBND ngày 03/10/2019 của UBND huyện</t>
  </si>
  <si>
    <t>Xây dựng tuyến đường Nhà thờ - Xuân Lam</t>
  </si>
  <si>
    <t>1670/QĐ-UBND ngày 23/7/2020 của UBND huyện</t>
  </si>
  <si>
    <t>Cải tạo, nâng cấp nghĩa trang Liệt sỹ huyện Nghi Xuân</t>
  </si>
  <si>
    <t xml:space="preserve">2580/QĐ-UBND ngày 15/9/2020 của UBND huyện   </t>
  </si>
  <si>
    <t>Hệ thống Camera an ninh trên địa bàn huyện Nghi Xuân</t>
  </si>
  <si>
    <t>2581/QĐ-UBND ngày 15/9/2020 của UBND huyện</t>
  </si>
  <si>
    <t>Hệ thống tiêu thoát nước thị trấn Tiên Điền đoạn từ tuyến đường LX1  đến cống tiêu số 7  đê hữu sông Lam</t>
  </si>
  <si>
    <t>5401/QĐ-UBND ngày 31/12/2019 của UBND huyện</t>
  </si>
  <si>
    <t>52</t>
  </si>
  <si>
    <t>53</t>
  </si>
  <si>
    <t>54</t>
  </si>
  <si>
    <t>55</t>
  </si>
  <si>
    <t>56</t>
  </si>
  <si>
    <t>57</t>
  </si>
  <si>
    <t>58</t>
  </si>
  <si>
    <t>59</t>
  </si>
  <si>
    <t>60</t>
  </si>
  <si>
    <t>61</t>
  </si>
  <si>
    <t>62</t>
  </si>
  <si>
    <t>63</t>
  </si>
  <si>
    <t>64</t>
  </si>
  <si>
    <t>65</t>
  </si>
  <si>
    <t>66</t>
  </si>
  <si>
    <t>67</t>
  </si>
  <si>
    <t>69</t>
  </si>
  <si>
    <t>70</t>
  </si>
  <si>
    <t>71</t>
  </si>
  <si>
    <t>72</t>
  </si>
  <si>
    <t>73</t>
  </si>
  <si>
    <t>74</t>
  </si>
  <si>
    <t>Đơn vị tính: Triệu đồng</t>
  </si>
  <si>
    <t xml:space="preserve"> </t>
  </si>
  <si>
    <t>Xây dựng tuyến đường với tổng chiều dài khoảng 0,8km, B nền 12m, B mặt 9m, kết cấu mặt đường bằng BTXM và các công trình trên tuyến; Bải đậu xe rộng 10.000m2</t>
  </si>
  <si>
    <t>Diện tích khoảng 800m2; cấp III</t>
  </si>
  <si>
    <t>Xã Xuân Yên; TT Tiên Điền</t>
  </si>
  <si>
    <t>Trong số vốn còn thiếu có nguồn XHH là 312,656trđ</t>
  </si>
  <si>
    <t>2.2</t>
  </si>
  <si>
    <t>Sửa chữa nâng cấp đoạn đê từ K9+800-K9+830 tuyến đê Hội Thống, huyện Nghi Xuân</t>
  </si>
  <si>
    <t xml:space="preserve">4547/QĐ-UBND ngày 26/10/2017 của UBND huyện </t>
  </si>
  <si>
    <t>Chỉnh trang hệ thống điện 0,4kVA đường Gia Lách – Nguyễn Du huyện Nghi Xuân</t>
  </si>
  <si>
    <t>4618/QĐ-UBND ngày 31/10/2019 của UBND huyện</t>
  </si>
  <si>
    <t>75</t>
  </si>
  <si>
    <t>Dự án khởi công mới giai đoạn 2016-2020</t>
  </si>
  <si>
    <t>Danh mục dự án hoàn thành, đã bàn giao, đi vào sử dụng trước năm 2016</t>
  </si>
  <si>
    <t>(Kèm theo Báo cáo số             /BC-UBND ngày         /10/2020 của UBND huyện)</t>
  </si>
  <si>
    <t>ỦY BAN NHÂN DÂN</t>
  </si>
  <si>
    <t>HUYỆN NGHI XUÂN</t>
  </si>
  <si>
    <t>CÁC CÔNG TRÌNH CẤP HUYỆN LÀM CHỦ ĐẦU TƯ</t>
  </si>
  <si>
    <t>CÁC CÔNG TRÌNH DO XÃ, THỊ LÀM CHỦ ĐẦU TƯ</t>
  </si>
  <si>
    <t>Hệ thống điện chiếu sáng công cộng Khu du lịch Xuân Thành ( giai đoạn 2 ), xã Xuân Thành, huyện Nghi Xuân</t>
  </si>
  <si>
    <t>10/5/2017-22/12/2017</t>
  </si>
  <si>
    <t>3046/QĐ-UBND ngày 7/8/2015 của UBND tỉnh Hà Tĩnh</t>
  </si>
  <si>
    <t>Duy tu đường GTNT trục xã (tuyến Trung Lộc đi Yên Thông)</t>
  </si>
  <si>
    <t>Số 5347/QĐ-UBND ngày 17/11/2017</t>
  </si>
  <si>
    <t>Trạm y tế xã Xuân Yên (Cải tạo, nâng cấp nhà hành chính, sân nền, rạp mát,…)</t>
  </si>
  <si>
    <t>Số 5924/QĐ-UBND ngày 13/12/2017 huyện</t>
  </si>
  <si>
    <t xml:space="preserve">Nâng cấp khuôn viên UBND xã </t>
  </si>
  <si>
    <t>Số 3605/QĐ-UBND ngày 14/09/2017 huyện</t>
  </si>
  <si>
    <t xml:space="preserve">Trường mầm non Xuân Yên - Hạng mục 02 tầng 06 phòng, rãnh thoát nước, phần còn lại chưa thi công </t>
  </si>
  <si>
    <t>Số 29/QĐ-UBND ngày 02/01/2019 huyện</t>
  </si>
  <si>
    <t>Hạ tầng kĩ thuật xen dặm khu dân cư trục đường Tiên Yên thôn Hợp Giáp và thôn Yên Lợi</t>
  </si>
  <si>
    <t>Số 113/QĐ-UBND ngày 25/10/2017 xã</t>
  </si>
  <si>
    <t>Xây dựng tuyến mương đồi ao đàng bảy</t>
  </si>
  <si>
    <t>Số 46/QĐ-UBND ngày 20/9/2019 xã</t>
  </si>
  <si>
    <t>Di dời đường dây trung thế 10(22) KV-GPMB xây dựng hạ tầng nông thôn xã Xuân Yên</t>
  </si>
  <si>
    <t>Số 910/QĐ-UBND ngày 06/5/2020 huyện</t>
  </si>
  <si>
    <t>XÃ XUÂN YÊN</t>
  </si>
  <si>
    <t xml:space="preserve"> Nâng cấp, mở rộng đường trục phố Nguyễn Ngọc Huấn TDP 3, 4</t>
  </si>
  <si>
    <t>6480/QĐ-UBND ngày 31/10/2018</t>
  </si>
  <si>
    <t xml:space="preserve"> Nâng cấp, mở rộng đường trục phố Lê Duy Điếm TDP 3,6</t>
  </si>
  <si>
    <t>6479/QĐ-UBND ngày 30/10/2018</t>
  </si>
  <si>
    <t xml:space="preserve"> Nhà hiệu bộ 02 tầng trường Tiểu học thị trấn Xuân An </t>
  </si>
  <si>
    <t>2018, 2019</t>
  </si>
  <si>
    <t>201/QĐ-UBND ngày  27/10/2018</t>
  </si>
  <si>
    <t>Nhà đa năng trường Tiểu học Xuân An - Phân hiệu 2</t>
  </si>
  <si>
    <t>2019, 2020</t>
  </si>
  <si>
    <t>3616/QĐ-UBND ngày 13/8/2019</t>
  </si>
  <si>
    <t xml:space="preserve"> Kênh tiêu thoát lũ hói Cơn Hương thị trấn Xuân An</t>
  </si>
  <si>
    <t>19/QĐ-UBND ngày 8/1/2020</t>
  </si>
  <si>
    <t>Nhà đa năng trường Tiểu học Xuân An - Phân hiệu 1</t>
  </si>
  <si>
    <t>120/QĐ-UBND ngày 21/1/2020</t>
  </si>
  <si>
    <t>TT XUÂN AN</t>
  </si>
  <si>
    <t xml:space="preserve"> Nâng cấp cải tạo 2 tầng Trường Mầm non năm 2016</t>
  </si>
  <si>
    <t>KC:22/7/2016
HT: 22/10/2016</t>
  </si>
  <si>
    <t>Số 1220 ngày 9/6/2016 UBND huyện</t>
  </si>
  <si>
    <t>XÃ CỔ ĐẠM</t>
  </si>
  <si>
    <t>Danh mục dự án hoàn thành, đã bàn giao, đi vào sử dụng trước năm 31/12/2016</t>
  </si>
  <si>
    <t>Đường GTPVSX Làng Trứa-Cựa Sang</t>
  </si>
  <si>
    <t>15/7/2013-18/10/2013</t>
  </si>
  <si>
    <t>Quyết định số 623/QĐ-UBND ngày 4/5/2013 của UBND huyện Nghi Xuân</t>
  </si>
  <si>
    <t>Công trình
đã quyết toán</t>
  </si>
  <si>
    <t>Nhà học chức năng 2 tầng Trường THCS Phổ Hải</t>
  </si>
  <si>
    <t>16/10/2016-16/01/2017</t>
  </si>
  <si>
    <t>Quyết định số 2307/QĐ-UBND ngày 18/8/2016</t>
  </si>
  <si>
    <t>San nền khu tái định cư thôn Trung Văn</t>
  </si>
  <si>
    <t>20/5/2019-12/7/2019</t>
  </si>
  <si>
    <t>Quyết định số 2280/QĐ-UBND ngày 06/5/2019</t>
  </si>
  <si>
    <t>Sửa chữa mái nhà học 2 tầng 10 phòng học Trường tiểu học xã Xuân Hải</t>
  </si>
  <si>
    <t>16/5/2019-16//2019</t>
  </si>
  <si>
    <t>Quyết định số 29/QĐ-UBND ngày 13/5/2019 của UBND xã Xuân Hải</t>
  </si>
  <si>
    <t>Đầu tư trang thiết bị Bộ phận tiếp nhận và trả kết quả hiện đại UBND xã Xuân Hải</t>
  </si>
  <si>
    <t>29/8/2019-13/9/2019</t>
  </si>
  <si>
    <t>Quyết định số 3385/QĐ-UBND ngày 29/7/2019 của UBND huyện Nghi Xuân</t>
  </si>
  <si>
    <t>Công trình
 đã nộp HS QT về huyện</t>
  </si>
  <si>
    <t>XÃ XUÂN HẢI</t>
  </si>
  <si>
    <t xml:space="preserve">Nhà 2 tầng 6 phòng Trường Mầm non </t>
  </si>
  <si>
    <t>số 2137/QĐ- UBND huyện ngày 03/05/2018</t>
  </si>
  <si>
    <t>Trường Mầm Non xã Xuân Hội Hạng mục: Nhà học 2 tầng 4 phòng (Cải tạo từ nhà học 2 tầng 6 phòng )</t>
  </si>
  <si>
    <t>08/5/2018- 09/12/2018</t>
  </si>
  <si>
    <t>Số 5615/QĐ- UBND hyện ngày 27/11/2017</t>
  </si>
  <si>
    <t xml:space="preserve">Trường Mầm Non xã Xuân Hội Hạng mục: Nhà ăn, bếp và nhà học thực hành (Cải tạo từ nhà học 3 phòng 1 tầng  </t>
  </si>
  <si>
    <t>16/05/2018 16/11/2018</t>
  </si>
  <si>
    <t>Số 5614/QĐ- UBND hyện ngày 27/11/2017</t>
  </si>
  <si>
    <t xml:space="preserve">Sân đường, hàng rào, mương và sữa chữa nhà Hiệu bộ Trường Mầm Non </t>
  </si>
  <si>
    <t>11/09/2018    11/10/2018</t>
  </si>
  <si>
    <t>Số 1786/QĐ- UBND hyện ngày 20/042018</t>
  </si>
  <si>
    <t xml:space="preserve">Khu trung tâm thể thao xã </t>
  </si>
  <si>
    <t>2191/QĐ- UBND hyện ngày 07/05/2018</t>
  </si>
  <si>
    <t xml:space="preserve">Nhà điều Trị trạm y tế xã Xuân Hội </t>
  </si>
  <si>
    <t>số 3916/QĐ- UBND hyện ngày 17/07/2018</t>
  </si>
  <si>
    <t>Đường Giao thông phục vụ sản xuất đi khu nuôi trồng thủy sản</t>
  </si>
  <si>
    <t>12/07/2018  11/08/2018</t>
  </si>
  <si>
    <t>số 4926/QĐ- UBND huyện ngày21/08/2018</t>
  </si>
  <si>
    <t>XÃ XUÂN HỘI</t>
  </si>
  <si>
    <t>10/7/2017-30/11/2018</t>
  </si>
  <si>
    <t>Nhà thực hành bộ môn Trường THCS Lam Hồng</t>
  </si>
  <si>
    <t xml:space="preserve">2441/QĐ-UBND ngày 09/9/2016 </t>
  </si>
  <si>
    <t>Cải tạo khuôn viên trụ sở UBND xã Xuân Hồng</t>
  </si>
  <si>
    <t>1341/QĐ-UBND ngày 22/6/2016 huyện</t>
  </si>
  <si>
    <t>Nhà văn phòng và các hạng mục phụ trợ trường mầm non xã Xuân Hồng</t>
  </si>
  <si>
    <t>2016 - 2017</t>
  </si>
  <si>
    <t>1302/QĐ-UBND ngày 17/6/2016 huyện</t>
  </si>
  <si>
    <t>132/QĐ
UBND ngày 17/6/2016</t>
  </si>
  <si>
    <t xml:space="preserve">Nhà văn hóa xã Xuân Hồng </t>
  </si>
  <si>
    <t>1677/QĐUBND ngày 18/7/2016</t>
  </si>
  <si>
    <t>Nhà ăn và bếp trường tiểu học xuân Hồng</t>
  </si>
  <si>
    <t>Số 3894/QĐ UBND ngày 27/9/2017</t>
  </si>
  <si>
    <t>XÃ XUÂN HỒNG</t>
  </si>
  <si>
    <t>1.</t>
  </si>
  <si>
    <t>Khu vui chơi giải trí người già và trẻ em</t>
  </si>
  <si>
    <t>Số 1597/QĐ-UBND ngày 12/4/2019</t>
  </si>
  <si>
    <t>Công trình
 đang làm BC QT</t>
  </si>
  <si>
    <t>XÃ XUÂN LAM</t>
  </si>
  <si>
    <t>Sửa chữa nâng cấp hệ thống kênh mương xã Xuân Liên</t>
  </si>
  <si>
    <t>5-7/2015</t>
  </si>
  <si>
    <t>Số 33 ngày 22/5/2015</t>
  </si>
  <si>
    <t>Đường GTNT xã Xuân Liên (An Phúc Lộc - Linh Tân)</t>
  </si>
  <si>
    <t>7-11/2015</t>
  </si>
  <si>
    <t>Số 1132, ngày 26/6/2015</t>
  </si>
  <si>
    <t>Văn phòng 2 tầng 6 phòng trường THCS Hoa Liên</t>
  </si>
  <si>
    <t>12/2013-6/2014</t>
  </si>
  <si>
    <t>Số 2386 ngày 17/12/2014</t>
  </si>
  <si>
    <t>Trường mầm non Xuân Liên</t>
  </si>
  <si>
    <t>10/2013-1/2014</t>
  </si>
  <si>
    <t>Số 55 ngày 11/10/2013</t>
  </si>
  <si>
    <t>Đường GTNT xã Xuân Liên (Linh Tân - Linh Vượng)</t>
  </si>
  <si>
    <t>6/2015</t>
  </si>
  <si>
    <t>Số 38, ngày 4/6/2015</t>
  </si>
  <si>
    <t>Nâng cấp các hạng mục trạm y tế xã Xuân Liên</t>
  </si>
  <si>
    <t>12/2014-2/2015</t>
  </si>
  <si>
    <t>Số 100, ngày 6/12/2014</t>
  </si>
  <si>
    <t>Trạm y tế xã Xuân Liên</t>
  </si>
  <si>
    <t>9-12/2014</t>
  </si>
  <si>
    <t>Số 1704 ngày 8/9/2014</t>
  </si>
  <si>
    <t>Hội trường UB xã Xuân Liên</t>
  </si>
  <si>
    <t>12/2009
7/2010</t>
  </si>
  <si>
    <t>Số 34 ngày 18/12/2009</t>
  </si>
  <si>
    <t>Nâng cấp cải tạo nhà thờ liệt sỹ (Các hạng mục ngoài nhà)</t>
  </si>
  <si>
    <t>6-8/2014</t>
  </si>
  <si>
    <t>Số 27b ngày 27/5/2014</t>
  </si>
  <si>
    <t>Cải tạo nâng cấp khuôn viên sân vận động</t>
  </si>
  <si>
    <t>1-4/2015</t>
  </si>
  <si>
    <t>Số 95, ngày 25/12/2014</t>
  </si>
  <si>
    <t>Nhà chức năng 4 phòng trường tiểu học</t>
  </si>
  <si>
    <t>2014-2015</t>
  </si>
  <si>
    <t>Số 03 ngày 12/1/2014</t>
  </si>
  <si>
    <t xml:space="preserve">Nâng cấp cải tạo nhà thờ liệt sỹ    </t>
  </si>
  <si>
    <t>6/2013-9/2013</t>
  </si>
  <si>
    <t>Số 39 ngày 26/6/2013</t>
  </si>
  <si>
    <t>Kênh mương đồng bần 
đồng hà</t>
  </si>
  <si>
    <t>Số 2262, ngày 29/11/2013</t>
  </si>
  <si>
    <t>Nâng cấp khuôn viên trụ 
sở xã Xuân Liên</t>
  </si>
  <si>
    <t>7/10/2013</t>
  </si>
  <si>
    <t>Số 35, ngày 20/5/2013</t>
  </si>
  <si>
    <t>Nhà đa năng trường tiểu học Xuân Liên</t>
  </si>
  <si>
    <t>10/2016-4/2017</t>
  </si>
  <si>
    <t>Số 1756, ngày 28/7/2016</t>
  </si>
  <si>
    <t>Đường GTNT xã Xuân Liên(Linh Tân - Linh Trù - Khu nuôi trồng thủy sản) )</t>
  </si>
  <si>
    <t>10/2017-12/2017</t>
  </si>
  <si>
    <t>Số 2812, ngày 17/10/2017</t>
  </si>
  <si>
    <t>Duy tu nâng cấp đường trục thôn 2.2 và 2.7 xã Xuân Liên</t>
  </si>
  <si>
    <t>9/2017-10/2017</t>
  </si>
  <si>
    <t>Số 3536, ngày 7/9/2017</t>
  </si>
  <si>
    <t>Nhà học thực hành trường THCS Hoa Liên</t>
  </si>
  <si>
    <t>6/2017-8/2017</t>
  </si>
  <si>
    <t xml:space="preserve">Số 1155, ngày 21/4/2017   </t>
  </si>
  <si>
    <t>Nhà vệ sinh trường tiểu học Xuân Liên</t>
  </si>
  <si>
    <t>10/2017-11/2017</t>
  </si>
  <si>
    <t>Số 162b, ngày 28/9/2017</t>
  </si>
  <si>
    <t>Di dời trạm biến áp Xuân Liên</t>
  </si>
  <si>
    <t>Số 164, ngày 28/9/2017</t>
  </si>
  <si>
    <t>Đường GT nội đồng kết nối vùng sản xuất tập trung xã Xuân Liên</t>
  </si>
  <si>
    <t>10/2018-2019</t>
  </si>
  <si>
    <t>Số 5975, ngày 9/10/2018</t>
  </si>
  <si>
    <t>Xây mới nhà bếp, lợp mái che, lát gạch sân đường nội bội trường MN Xuân Liên</t>
  </si>
  <si>
    <t>Số 6470, ngày 31/10/2018</t>
  </si>
  <si>
    <t>Các tuyến đường GTNT xã Xuân Liên (Cửa Hồ đi Cửa Hang)</t>
  </si>
  <si>
    <t>Rảnh thoát nước thôn Linh Trung, tuyến đường từ 547 đi cầu tre xã Xuân Liên</t>
  </si>
  <si>
    <t>8/2017</t>
  </si>
  <si>
    <t>Số 180b, ngày 28/8/2017</t>
  </si>
  <si>
    <t>Lát gạch blook, láng sân khuôn viên UB</t>
  </si>
  <si>
    <t>Mương đồng bảng đi lô hộ xã Xuân Liên</t>
  </si>
  <si>
    <t>7/2016</t>
  </si>
  <si>
    <t>Số 126  ngày 4/7/2016</t>
  </si>
  <si>
    <t>Đường GT nội đồng xã Xuân Liên (DA 106 năm 2016)</t>
  </si>
  <si>
    <t>9/2016-1/2017</t>
  </si>
  <si>
    <t>Số 2114, ngày 24/8/2016</t>
  </si>
  <si>
    <t>Đắp đất lề đường</t>
  </si>
  <si>
    <t>Đắp đất, mở rộng nền, lề
 đường các tuyến GTNT xã Xuân Liên</t>
  </si>
  <si>
    <t>XÃ XUÂN LIÊN</t>
  </si>
  <si>
    <t>Đường giao thông phục vụ sản xuất Đồng Lốt xã Xuân Phổ</t>
  </si>
  <si>
    <t>T 9 - 12/2014</t>
  </si>
  <si>
    <t>Số 1483/30/07/2014</t>
  </si>
  <si>
    <t>Sân vận động UBND xã Xuân Phổ</t>
  </si>
  <si>
    <t>T 7 - 9/2015</t>
  </si>
  <si>
    <t>Số 1037/17/6/2015</t>
  </si>
  <si>
    <t>Nhà hành chính 3 phòng trường Mầm non xã Xuân Phổ</t>
  </si>
  <si>
    <t>T9 - 12 /2015</t>
  </si>
  <si>
    <t>Số 1946/14/9/2015</t>
  </si>
  <si>
    <t>Trạm y tế Xuân Phổ</t>
  </si>
  <si>
    <t>T 8/2015 - 01/2016</t>
  </si>
  <si>
    <t>Số 1717/8/5/2015</t>
  </si>
  <si>
    <t>Nhà đa năng trường Tiểu học</t>
  </si>
  <si>
    <t>5/12/2017 - 05/02/2018</t>
  </si>
  <si>
    <t>Số 4730/QĐ-UBND, 01/11/2017</t>
  </si>
  <si>
    <t>Kênh tiêu đồng lốt</t>
  </si>
  <si>
    <t xml:space="preserve">1935/QĐ-UBND, ngày 9/6/2017 </t>
  </si>
  <si>
    <t>Cải tạo nhà học, nhà vệ sinh trường MN</t>
  </si>
  <si>
    <t>T5-T7/2018</t>
  </si>
  <si>
    <t>Số 2004/QĐ-UBND, 20/4/2018</t>
  </si>
  <si>
    <t>T6-T11/2019</t>
  </si>
  <si>
    <t>Số 6385/QĐ-UBND, 30/10/2018 huyện</t>
  </si>
  <si>
    <t>Tuyến đường trục thôn kết hợp vào khu nuôi tôm trên cát</t>
  </si>
  <si>
    <t>Số 1550/QĐ-UBND, 10/4/2019 huyện</t>
  </si>
  <si>
    <t>Nhà bếp và chế biến thức ăn Trường Mầm non</t>
  </si>
  <si>
    <t>T8-T12/2019</t>
  </si>
  <si>
    <t>Số 3033/QĐ-UBND, 10/7/2019 huyện</t>
  </si>
  <si>
    <t>Cải tạo và đầu tư thiết bị nhà 1 cửa</t>
  </si>
  <si>
    <t>T9/2020</t>
  </si>
  <si>
    <t>Số 3386/QĐ-UBND, ngày 29/7/2019 huyện</t>
  </si>
  <si>
    <t>XÃ XUÂN PHỔ</t>
  </si>
  <si>
    <t>Xây mới nhà hiệu bộ trường mầm non Xuân Thành</t>
  </si>
  <si>
    <t>2/2013- 5/2013</t>
  </si>
  <si>
    <t xml:space="preserve">Số 10
26/1/2013
</t>
  </si>
  <si>
    <t xml:space="preserve">Trường TH- Nhà GD thể chất </t>
  </si>
  <si>
    <t>6/2015-9/2015</t>
  </si>
  <si>
    <t>1279 ngày 9/7/2015</t>
  </si>
  <si>
    <t>Mương Đồng Rứng đi Đồng Chàm</t>
  </si>
  <si>
    <t>4/2015-6/2015</t>
  </si>
  <si>
    <t>205 ngày 03/7/2015</t>
  </si>
  <si>
    <t xml:space="preserve">Sửa chữa  các tuyến đường trục xã đợt 1 </t>
  </si>
  <si>
    <t>7/2015-8/2015</t>
  </si>
  <si>
    <t>1401 ngày 22/7/2015</t>
  </si>
  <si>
    <t>Nâng cấp các tuyến đường GT trục xã đợt 2</t>
  </si>
  <si>
    <t>10/2015-11/2015</t>
  </si>
  <si>
    <t>2473 ngày 27/11/2015</t>
  </si>
  <si>
    <t>Nhà ăn bán trú trường 1 Tầng- Tiểu học XT (GĐ1)</t>
  </si>
  <si>
    <t>8/2016- 12/2016</t>
  </si>
  <si>
    <t>Số 1301 ngày 17/6/2016</t>
  </si>
  <si>
    <t>Dự án chuyển tiếp sang giai đọan 2016-2020</t>
  </si>
  <si>
    <t xml:space="preserve">Nhà ăn bán trú T1- trường MN XT </t>
  </si>
  <si>
    <t>11/2017-3/2018</t>
  </si>
  <si>
    <t>3638 ngày 18/9/2017</t>
  </si>
  <si>
    <t>Công trình tuyến mương Hồ Xuân hoa đến Đồng trằm, Đồng phước xã Xuân Thành</t>
  </si>
  <si>
    <t>8/2018- 9/2018</t>
  </si>
  <si>
    <t>Số 48; ngày 03/8/2018</t>
  </si>
  <si>
    <t>Nhà học 2 tầng- 8 phòng trường TH Xuân Thành</t>
  </si>
  <si>
    <t>01/2019-5/2019</t>
  </si>
  <si>
    <t>Số 7006 ngày 22/11/ 2018</t>
  </si>
  <si>
    <t>Nâng cấp, mở rộng đường vào khu xử lý rác thải và khu chăn nuôi tập trung xóm đồng Rống, xã Xuân Thành</t>
  </si>
  <si>
    <t>7/2019- 11/2019</t>
  </si>
  <si>
    <t>Số 2733; 7/6/2019</t>
  </si>
  <si>
    <t>Xây mới tầng 2 nhà ăn bán trú Trường tiểu học xã Xuân Thành, huyện Nghi Xuân</t>
  </si>
  <si>
    <t>8/2019- 12/2019</t>
  </si>
  <si>
    <t>Số 2927; 25/6/2019</t>
  </si>
  <si>
    <t>Xây mới tầng 2 nhà ăn bán trú Trường MN xã Xuân Thành, huyện Nghi Xuân</t>
  </si>
  <si>
    <t>Số 2984; 16/7/ 2019</t>
  </si>
  <si>
    <t>Xây dựng Nhà làm việc 2 tầng - UBND xã Xuân Thành</t>
  </si>
  <si>
    <t>01/2020  5/2020</t>
  </si>
  <si>
    <t xml:space="preserve">Số 4598; 30/10/2019 </t>
  </si>
  <si>
    <t>UBND xã Xuân Thành; Hạng mục: Cải tạo nhà giao dịch một cửa</t>
  </si>
  <si>
    <t>7/2019- 8/2019</t>
  </si>
  <si>
    <t>Số 54; 21/6/2019</t>
  </si>
  <si>
    <t>Đường phía ngoài xung quanh hàng rào chợ Xuân Thành, thôn Hương Hoà, xã Xuân Thành, huyện Nghi Xuân</t>
  </si>
  <si>
    <t>12/2019-01/2020</t>
  </si>
  <si>
    <t>Số 118; 28/10/2019</t>
  </si>
  <si>
    <t>Tuyến đê ngăn mặn, giữ ngọt Bàu Dài, thôn Thành Hải, xã Xuân Thành</t>
  </si>
  <si>
    <t>11/2019- 4/2020</t>
  </si>
  <si>
    <t xml:space="preserve">Số 4376; 16/10/2019 </t>
  </si>
  <si>
    <t xml:space="preserve">Nâng cấp trụ sở làm việc UBND xã Xuân Thành. Hạng mục: Cải tạo nhà làm việc 02 tầng UBND xã Xuân Thành </t>
  </si>
  <si>
    <t>11/2019-01/2020</t>
  </si>
  <si>
    <t>Số 119; 29/10/2019</t>
  </si>
  <si>
    <t>Nâng cấp khuôn viên uỷ ban nhân dân xã Xuân Thành, huyện Nghi Xuân</t>
  </si>
  <si>
    <t>9/2020-11/2020</t>
  </si>
  <si>
    <t>107; 26/8/2020</t>
  </si>
  <si>
    <t>Nâng cấp, cải tạo tuyến đường trục xã TX01 (thôn Thành Sơn), xã Xuân Thành, huyện Nghi Xuân</t>
  </si>
  <si>
    <t>9/2020-02/2021</t>
  </si>
  <si>
    <t>86; 03/8/2020</t>
  </si>
  <si>
    <t>Nâng cấp, mở rộng đường giao thông nối từ đường ven biển đi xã Xuân Mỹ đoạn qua xã Xuân Thành</t>
  </si>
  <si>
    <t>10/2020-3/2021</t>
  </si>
  <si>
    <t>93; 07/8/2020</t>
  </si>
  <si>
    <t xml:space="preserve"> Nâng cấp, mở rộng đường giao thông nối từ đường ven biển đi khu du lịch biển Xuân Thành</t>
  </si>
  <si>
    <t>10/2020- 3/2021</t>
  </si>
  <si>
    <t>92; 07/8/2020</t>
  </si>
  <si>
    <t>XÃ XUÂN THÀNH</t>
  </si>
  <si>
    <t xml:space="preserve">Đường giao thông liên thôn vùng Hội Làng, vùng Bàu Giới và vùng Nhà Hoa xã Xuân Mỹ, huyện Nghi Xuân </t>
  </si>
  <si>
    <t>7/2019 /1/2020</t>
  </si>
  <si>
    <t xml:space="preserve">2064/QĐ- 21/5/2019 của UBND huyện Nghi Xuân  </t>
  </si>
  <si>
    <t>XÃ XUÂN MỸ</t>
  </si>
  <si>
    <t>V</t>
  </si>
  <si>
    <t>VI</t>
  </si>
  <si>
    <t>VII</t>
  </si>
  <si>
    <t>VIII</t>
  </si>
  <si>
    <t>IX</t>
  </si>
  <si>
    <t>X</t>
  </si>
  <si>
    <t>XÃ XUÂN LĨNH</t>
  </si>
  <si>
    <t>XI</t>
  </si>
  <si>
    <t>Nâng cấp sửa chữa khuô viên UBND xã</t>
  </si>
  <si>
    <t>Nâng cấp sửa chữa tượng đài Liệt sỹ</t>
  </si>
  <si>
    <t>Công viên mi ni trung tâm UBND xã</t>
  </si>
  <si>
    <t xml:space="preserve">Nâng cấp lề đường xây dựng bồn hoa pháu trước true sở UBND xã </t>
  </si>
  <si>
    <t>Xây dựng, ngân cấp tuyến mương Đồng hiện thôn 1 và mương cống tưới thôn 2</t>
  </si>
  <si>
    <t>2016-2017</t>
  </si>
  <si>
    <t>1155/QĐ-UBND, ngày 06/6/2016</t>
  </si>
  <si>
    <t>1074/QĐ-UBND, ngày 27/5/216</t>
  </si>
  <si>
    <t>2581/QĐ-UBND, ngày 13/11/2017</t>
  </si>
  <si>
    <t>103/QĐ-UBND, ngày 25/10/2018</t>
  </si>
  <si>
    <t>125/QDD-UBND, ngày 09/10/2019</t>
  </si>
  <si>
    <t>huyện Nghi Xuân</t>
  </si>
  <si>
    <t>Mương thoát nước khu dân cư thôn Cầu Đá Nam Mới</t>
  </si>
  <si>
    <t>KC:4/10/2016  HT:4/3/2017</t>
  </si>
  <si>
    <t>Số: 74  /QĐ-UBND 30/8/2016</t>
  </si>
  <si>
    <t>Nhà đa năng trường tiểu học Cương Gián I</t>
  </si>
  <si>
    <t>KC: 6/9/2016
HT: 6/1/2017</t>
  </si>
  <si>
    <t>Số 1723 ngày 25/7/2016</t>
  </si>
  <si>
    <t>Trường mầm non
 cụm bắc Sơn( nhà học 2 tầng 8 phòng giai đoạn 1 4 phong 1 tầng) Cường</t>
  </si>
  <si>
    <t>KC: 10/4/2017
HT: 7/9/2017</t>
  </si>
  <si>
    <t>Số 11ngày 3/1/2017 Hyện</t>
  </si>
  <si>
    <t>Trường mầm non
 cụm Song Long</t>
  </si>
  <si>
    <t>KC: 6/9/2017
HT: 19/3/2018</t>
  </si>
  <si>
    <t>Số 2667 ngày 24/7/2017h Huyện</t>
  </si>
  <si>
    <t>Nhà hiệu bộ trường 
tiểu học Cương Gián 2</t>
  </si>
  <si>
    <t>KC: 20/10/2017
HT: 20/3/2018</t>
  </si>
  <si>
    <t>Số 3123 ngày 218/8/2017 Huyện</t>
  </si>
  <si>
    <t>Trường mầm non
 cụm bắc Sơn( 4 phòng tầng 2) Quang phượng</t>
  </si>
  <si>
    <t>KC: 26/3/2018
HT: 26/9/2018</t>
  </si>
  <si>
    <t>Số 135 ngày 11/1/2018 Huyện</t>
  </si>
  <si>
    <t>Trường mầm non
 cụm bắc Sơn( 4 phòng 2 tầng) huynh</t>
  </si>
  <si>
    <t>KC: 17/5/2018
HT: 04/10/2018</t>
  </si>
  <si>
    <t>Số 1388ngày 28/3/2018 Huyện</t>
  </si>
  <si>
    <t>Trường mầm non
 cụm bắc Sơn( nhà học 2 tầng 4 phòng giai đoạn 2) Lê</t>
  </si>
  <si>
    <t>KC: 16/5/2018
HT: 16/10/2018</t>
  </si>
  <si>
    <t>Số 1736ngày 13/4/2018 Huyện</t>
  </si>
  <si>
    <t>Nhà đa năng trường tiểu học Cương Gián 2</t>
  </si>
  <si>
    <t>KC: 18/6/2018
HT: 18/10/2018</t>
  </si>
  <si>
    <t>Số 2006 ngày 20/4/2018 huyện</t>
  </si>
  <si>
    <t>Mương Bàu làng đoạn từ thôn Song Hải đến thôn Bắc Mới xã Cương Gián</t>
  </si>
  <si>
    <t>KC: 15/8/2018
HT: 15/1/2019</t>
  </si>
  <si>
    <t>Số 110 ngày 26/10/2017 xã</t>
  </si>
  <si>
    <t xml:space="preserve">Cải tạo và đầu tư thiết bị bộ phận tiếp nhận và trả kết quả hiện đại nhà làm việc 2 tầng UBND xã Cương Gián </t>
  </si>
  <si>
    <t>KC: 08/12/2019
HT: 20/3/2020</t>
  </si>
  <si>
    <t>Số 3982/QĐ-UBND ngày 11/9/2019
 UBND huyện</t>
  </si>
  <si>
    <t>XÃ CƯƠNG GIÁN</t>
  </si>
  <si>
    <t>XÃ ĐAN TRƯỜNG</t>
  </si>
  <si>
    <t>Nhà học 02 tầng 04 phòng chức năng trường tiểu học Xuân Trường (GĐ1)</t>
  </si>
  <si>
    <t>'2080/QĐ-UBND, ngày 18/8/2016 của UBND huyện</t>
  </si>
  <si>
    <t>Nhà học 02 tầng 04 phòng chức năng trường tiểu học Xuân Trường ( GĐ2)</t>
  </si>
  <si>
    <t xml:space="preserve"> Số: 116/QĐ- UBND ngày 14/8/2017 huyện </t>
  </si>
  <si>
    <t>Nhà  ăn bán trú Tiểu học xã Xuân Trường</t>
  </si>
  <si>
    <t>T9-T12/2017</t>
  </si>
  <si>
    <t xml:space="preserve">3449/QĐ-UBND ngày 31/8/2017 huyện </t>
  </si>
  <si>
    <t>Nhà văn hóa xã Xuân Trường</t>
  </si>
  <si>
    <t>Nhà đa năng Trường MN</t>
  </si>
  <si>
    <t>T1-T6/2018</t>
  </si>
  <si>
    <t xml:space="preserve">số 6010/QĐ-UBND ngày 20/12/2017 huyện </t>
  </si>
  <si>
    <t>Trạm y tê tầng 2</t>
  </si>
  <si>
    <t>T6-T8/2018</t>
  </si>
  <si>
    <t xml:space="preserve"> Số: 89/QĐ- UBND ngày 29/5/2018 huyện </t>
  </si>
  <si>
    <t xml:space="preserve">Duy tu đường trục 4 </t>
  </si>
  <si>
    <t>T4-T6/2018</t>
  </si>
  <si>
    <t xml:space="preserve"> Số: 114/QĐ- UBND ngày 11/5/2018 xã </t>
  </si>
  <si>
    <t>Duy tu đường trục 2</t>
  </si>
  <si>
    <t>Trung tâm văn hóa và công viên mi ni xã Xuân Trường – Hạng mục : Cổng hàng rào, san nền</t>
  </si>
  <si>
    <t xml:space="preserve"> Số: 134/QĐ- UBND ngày 29/5/2018 xã </t>
  </si>
  <si>
    <t xml:space="preserve"> Trung tâm văn hóa và công viên mi ni xã Xuân Trường huyện Nghi Xuân. Hạng mục công viên mi ni và mương thoát nước</t>
  </si>
  <si>
    <t xml:space="preserve"> Số: 125/QĐ- UBND ngày 29/5/2018 xã </t>
  </si>
  <si>
    <t xml:space="preserve"> Trung tâm văn hóa và công viên mi ni xã Xuân Trường huyện Nghi Xuân. Hạng mục: Nhà vệ sinh, điện ngoài nhà</t>
  </si>
  <si>
    <t xml:space="preserve"> Số: 130/QĐ- UBND ngày 29/5/2018 xã </t>
  </si>
  <si>
    <t>XD tuyến mương cửa Trộ</t>
  </si>
  <si>
    <t>T2 -T5/2019</t>
  </si>
  <si>
    <t xml:space="preserve">số 121/QĐ-UBND ngày 30/10/2018 xã </t>
  </si>
  <si>
    <t>Hạ tầng kỹ thuật NTM</t>
  </si>
  <si>
    <t>T8-10/2018</t>
  </si>
  <si>
    <t xml:space="preserve">số 76/QĐ-UBND ngày 17/8/2018 xã </t>
  </si>
  <si>
    <t>Nâng cấp Sân đường nội bộ, mương thoát nước trường Mầm non</t>
  </si>
  <si>
    <t>Xây mới nhà vệ sinh, cải tạo khuôn viên Trường Tiểu học</t>
  </si>
  <si>
    <t xml:space="preserve">Cải tạo Hội trường và phòng làm việc </t>
  </si>
  <si>
    <t xml:space="preserve">Nâng cấp sân thể thao xã </t>
  </si>
  <si>
    <t xml:space="preserve">Thư viện xanh Trường Tiểu học </t>
  </si>
  <si>
    <t>Các tuyến đường GTNT trục chính nội đồng xã Xuân Trường</t>
  </si>
  <si>
    <t>Sân vận động : Hạng muc San nền</t>
  </si>
  <si>
    <t xml:space="preserve"> Số: 69/QĐ- UBND ngày 7/5/2018 xã </t>
  </si>
  <si>
    <t>Sân vận động : Hạng muc Hạ tầng kỹ thuật</t>
  </si>
  <si>
    <t xml:space="preserve"> Số: 89/QĐ- UBND ngày 29/5/2018 xã </t>
  </si>
  <si>
    <t>Hạ tầng kỹ thuật khu dân cư Trường Thanh</t>
  </si>
  <si>
    <t>,18/05/2019</t>
  </si>
  <si>
    <t xml:space="preserve"> Số: 6474/QĐ- UBND ngày 31/10/2018 UBND huyện  </t>
  </si>
  <si>
    <t>XII</t>
  </si>
  <si>
    <t>XIII</t>
  </si>
  <si>
    <t>Hệ thống đường GT trục thôn và nội đồng xã Xuân Giang</t>
  </si>
  <si>
    <t>03/11/2017
03/02/2018</t>
  </si>
  <si>
    <t>Số 3930 ngày 29/9/2017 của UBND huyện 
Nghi Xuân</t>
  </si>
  <si>
    <t>Nâng cấp tuyến đường trục xã TX.01, xã Xuân Giang, huyện Nghi Xuân</t>
  </si>
  <si>
    <t>11/3/2019
11/7/2019</t>
  </si>
  <si>
    <t>Số: 397/QĐ-UBND 22/01/2019 của UBND huyện 
Nghi Xuân</t>
  </si>
  <si>
    <t>XÃ XUÂN GIANG</t>
  </si>
  <si>
    <t>Hội quán Hội Minh</t>
  </si>
  <si>
    <t>Hội quán An Toàn</t>
  </si>
  <si>
    <t>Nhà đa chức năng nhà vệ sinh lát sân Trường Tiểu học</t>
  </si>
  <si>
    <t>Số 5719;
04/12/2017 huyện</t>
  </si>
  <si>
    <t>Dự án Nhà làm việc 2 tầng kiêm trung tâm giao dịch một cửa Trụ sở UBND xã Xuân Viên</t>
  </si>
  <si>
    <t>2020-2020</t>
  </si>
  <si>
    <t>Số 4571 ngày 25/10/2019 của huyện</t>
  </si>
  <si>
    <t>Nhà học 2 tầng 6 phòng trường Mầm non Xuân Viên</t>
  </si>
  <si>
    <t>Số 3143;
16/7/2018 huyện</t>
  </si>
  <si>
    <t>Mương thoát nước khu dân cư</t>
  </si>
  <si>
    <t>Số 199 ngày 17/10/2018 của xã</t>
  </si>
  <si>
    <t>Bếp ăn 01 tầng trường Mầm non</t>
  </si>
  <si>
    <t>Số 123 ngày 24/7/2020</t>
  </si>
  <si>
    <t>Đường GT nội đồng thôn Xuân Áng</t>
  </si>
  <si>
    <t>Số 200;
22/9/2017 xã</t>
  </si>
  <si>
    <t>Đường huyện lộ Giang Viên Lĩnh đi nhà anh toàn</t>
  </si>
  <si>
    <t>2018-2018</t>
  </si>
  <si>
    <t>Số 96;
03/5/2018 xã</t>
  </si>
  <si>
    <t>Nâng cấp sân Trường THCS Xuân Viên</t>
  </si>
  <si>
    <t>Số 188/27/9/2018 xã</t>
  </si>
  <si>
    <t>Đường Phóc Soi lên chân rú Mỹ Lộc (BS mặt đường)</t>
  </si>
  <si>
    <t>Số 81
/23/4/2018 xã</t>
  </si>
  <si>
    <t>XÃ XUÂN VIÊN</t>
  </si>
  <si>
    <t>XIV</t>
  </si>
  <si>
    <t>XV</t>
  </si>
  <si>
    <t>76</t>
  </si>
  <si>
    <t>Nhà học 02 tầng 4 phòng trường Mầm non xã Xuân Hải</t>
  </si>
  <si>
    <t>16/11/2017
16/05/2018</t>
  </si>
  <si>
    <t>3928
29/09/2017</t>
  </si>
  <si>
    <t>Cải tạo, nâng cấp hàng rào, cổng, nhà xe, sân nội bộ Trung tâm bồi dưỡng chính trị huyện Nghi Xuân</t>
  </si>
  <si>
    <t xml:space="preserve">2137/QĐ-UBND, ngày 25/8/2016 của UBND huyện </t>
  </si>
  <si>
    <t xml:space="preserve"> -</t>
  </si>
  <si>
    <t xml:space="preserve">Nhà văn hóa kiêm trung tâm học tập cộng đồng xã </t>
  </si>
  <si>
    <t>1041/QĐ-UBND, ngày 17/6/2015</t>
  </si>
  <si>
    <t>Nhà học bộ môn Trường TH&amp;THCS Xuân Lĩnh</t>
  </si>
  <si>
    <t>1633/QĐ-UBND, ngày 14/7/2016</t>
  </si>
  <si>
    <t>Nhà bia tưởng niệm Liệt sỹ xã Xuân Lĩnh</t>
  </si>
  <si>
    <t>XVI</t>
  </si>
  <si>
    <t>Xây dựng nhà thực hành TT giáo dục nghề nghiệp- GD thường xuyên</t>
  </si>
  <si>
    <t>Hạ tầng quy hoạch xen dắm dân cư vùng Mùng Năm, tổ dân phố 7, TT Xuân An</t>
  </si>
  <si>
    <t>TT TIÊN ĐIỀN</t>
  </si>
  <si>
    <t>Đường vào mộ Xuân Quận Công Nguyễn Nghiệm</t>
  </si>
  <si>
    <t>Đường GTNT xã Tiên Điền: Tuyến đường trục xã thôn Phong Giang, hạng mục: Nền, móng mặt đường và kè mái taluy</t>
  </si>
  <si>
    <t>Tiên Điền</t>
  </si>
  <si>
    <t>Sữa chữa cống số 10 và cống số 7 đê Hội Thống</t>
  </si>
  <si>
    <t>Các tuyến đường giao thông Trục xã 1, Trục xã 2 xã Xuân Hội</t>
  </si>
  <si>
    <t>Sơn lại nhà, xây mới hàng rào Trạm y tế xã Xuân Hội</t>
  </si>
  <si>
    <t>Khôi phục đền Cả xã Xuân Hội: Hạng mục: Lát sân nền và cải tạo mắt Giếng Rồng</t>
  </si>
  <si>
    <t>Mở rông khuôn viên trường Tiểu học Xuân Phổ</t>
  </si>
  <si>
    <t>Nhà đa năng trường tiểu học Xuân Hội</t>
  </si>
  <si>
    <t>Rãnh thoát nước từ đường tỉnh lộ 546 vào nhà ô Dân</t>
  </si>
  <si>
    <t>Nhà trực bảo vệ Trường THCS</t>
  </si>
  <si>
    <t>Nâng cấp khuôn viên Trụ sở UBND xã</t>
  </si>
  <si>
    <t>Nâng cấp nhà bếp Trường mầm non Xuân Hội</t>
  </si>
  <si>
    <t>Nâng cấp khuôn viên Trụ sở UBND xã Xuân Hội- Hạng mục: nâng cấp sân vườn nội bộ</t>
  </si>
  <si>
    <t>Nhà học 3 tầng 12 phòng ( giai đoạn 1 Xây mới 2 tầng 8 phòng Trường tiểu học Xuân Phổ</t>
  </si>
  <si>
    <t>Nhaà làm việc 2 tầng 12 phòng - Trạm y tế Xuân Phổ</t>
  </si>
  <si>
    <t>Nâng cấp cải tạo nhà học 1 tầng 4 phòng thành nhà hiệu bộ và cải tạo dãy nhà học 2 tầng 14 phòng Trường tiểu học</t>
  </si>
  <si>
    <t>Sửa chữa trụ sở liên đoàn lao động</t>
  </si>
  <si>
    <t>Trong đó: NS huyện giai đoạn 2016-2020</t>
  </si>
  <si>
    <t>Hệ thống đường dây và trạm biến áp cấp điện Trung tâm dạy nghề, hướng nghiệp và giáo dục thường xuyên huyện Nghi Xuân, tỉnh Hà Tĩnh</t>
  </si>
  <si>
    <t>3140/QĐ-UBND ngày 17/11/2016 của UBND huyện</t>
  </si>
  <si>
    <t>Nâng cấp tuyến đường giao thông liên xã Mỹ - Thành - Hoa</t>
  </si>
  <si>
    <t>Cung cấp, lắp đặt thiết bị hội nghị truyền hình trực tuyến UBND huyện Nghi Xuân</t>
  </si>
  <si>
    <t>5423/QĐ-UBND, ngày 13/9/2018</t>
  </si>
  <si>
    <t>Nhà thí nghiệm và tin học trường THPT Nghi Xuân</t>
  </si>
  <si>
    <t xml:space="preserve">1073/QĐ-UBND ngày 27/5/2016 của UBND huyện </t>
  </si>
  <si>
    <t>Nhà học số 2, 02  tầng 4 phòng Trường Mầm non xã Xuân Lam, huyện Nghi Xuân</t>
  </si>
  <si>
    <t>Các hạng mục phụ trợ trường THPT Nghi Xuân - Hạng mục: Nhà xe giáo viên, sân đường nội bộ</t>
  </si>
  <si>
    <t>Hạ tầng kỹ thuật khu tái định cư Khu đất thu hồi của công ty Hồng Lam Xuân Thành</t>
  </si>
  <si>
    <t>Nâng cấp đường GT nội đồng phục vụ sản xuất và NTTS Xuân Đan</t>
  </si>
  <si>
    <t>Duy tu, nâng cấp đường trục xã Bình phúc- Lĩnh Thành Xuân Đan</t>
  </si>
  <si>
    <t>Tuyến mương nội đồng Tùng Chỏ đi Cửa Mương thôn Lĩnh Thành Xuân Đan</t>
  </si>
  <si>
    <t>Cây xanh trục đường Nguyễn Du</t>
  </si>
  <si>
    <t>Cải tạo, sửa chữa nhà làm việc Huyện ủy và mua sắm nội thất</t>
  </si>
  <si>
    <t>haạ tầng kỹ thuật Khu du lịch Xuân Thành - Hạng mục: Nhà vệ sinh và giới thiệu sản phẩm</t>
  </si>
  <si>
    <t>Trụ sở Công an huyện</t>
  </si>
  <si>
    <t>Xây dựng tuyến phòng thủ huyện</t>
  </si>
  <si>
    <t>Khuôn viên TT chính trị</t>
  </si>
  <si>
    <t>Cơ sở cấp phát thuốc metadone trung tâm y tê dự phòng</t>
  </si>
  <si>
    <t>tăng thu 2018</t>
  </si>
  <si>
    <t>Tăng thu 2017</t>
  </si>
  <si>
    <t>Tăng thu 2019</t>
  </si>
  <si>
    <t>Nhà đa năng trường tiểu học Xuân Đan</t>
  </si>
  <si>
    <t>Nhà hiệu bộ 2 tầng trường tiểu học Xuân Đan</t>
  </si>
  <si>
    <t>Đường GTNT phục vụ nuôi trồng thủy sản Xuân Phổ</t>
  </si>
  <si>
    <t>Chuyển nguồn 2018-2019</t>
  </si>
  <si>
    <t>Bồi thường giảo phóng mặt bằng xây dựng Quảng trường Vườn thúy Khu VHDL Nguyễn Du</t>
  </si>
  <si>
    <t>Kết dư 2019</t>
  </si>
  <si>
    <t>Saân vận động Xuân Đan - Hạng mục: San nền và sân khấu ngoài trời</t>
  </si>
  <si>
    <t>Trường mầm non xã Xuân Trường</t>
  </si>
  <si>
    <t>Nhà Đa năng nhà bảo vệ trường Tiểu học Xuân Hồng</t>
  </si>
  <si>
    <t>Sửa chữa, nâng cấp kè hộ chân bảo vệ tuyến đê biển Hội Thống, huyện Nghi Xuân</t>
  </si>
  <si>
    <t>Chỉnh trang cây xanh đô thị, hạ tầng kỹ thuật trên một số tuyến đường trung tâm huyện và quảng trường KDL Xuân Thành</t>
  </si>
  <si>
    <t>Dèn led trang trí trên tuyến đường Gia Lách đi Khu di tích Nguyễn Du</t>
  </si>
  <si>
    <t>Truường bắn, thao trường huấn luyện Quân sự huyện Nghi Xuân</t>
  </si>
  <si>
    <t>Trụ sở làm việc khu vực 02 công an huyện Nghi Xuân - Hạng mục: Nâng cấp sân, bãi để xe, bồn cây, bồn hoa</t>
  </si>
  <si>
    <t xml:space="preserve">922/QĐ-UBND ngày 07/5/2020 của UBND huyện </t>
  </si>
  <si>
    <t>TT</t>
  </si>
  <si>
    <t>Năng lực thiết kế</t>
  </si>
  <si>
    <t>Lũy kế vốn bố trí cho dự án từ KC đến hết năm 2020</t>
  </si>
  <si>
    <t>Xã Xuân Yên, thị trấn Tiên Điền</t>
  </si>
  <si>
    <t>Giao thông cấp 4</t>
  </si>
  <si>
    <t>Thuỷ lợi  cấp 4</t>
  </si>
  <si>
    <t>Thuỷ lợi cấp 4</t>
  </si>
  <si>
    <t>Dân dụng cấp 4</t>
  </si>
  <si>
    <t>Thị trấn Tiên Điền</t>
  </si>
  <si>
    <t>Hạ tầng kỹ thuật cấp 4</t>
  </si>
  <si>
    <t>Thị trấn Xuân An</t>
  </si>
  <si>
    <t>Xã Xuân Giang, thị trấn Tiên Điền</t>
  </si>
  <si>
    <t>Tuyến đường huyện lộ 01 (Giang - Viên - Lĩnh), huyện Nghi Xuân</t>
  </si>
  <si>
    <t>Các xã: Xuân Giang, Xuân Viên</t>
  </si>
  <si>
    <t>Dân dụng cấp 3</t>
  </si>
  <si>
    <t>Nâng cấp tuyến đường giao thông liên xã Tiên-Yên (đoạn trùng với HL-12)</t>
  </si>
  <si>
    <t xml:space="preserve">Nâng cấp tuyến đường giao thông từ ĐT547 đi Hồ chứa nước Xuân Hoa, xã Cổ Đạm, huyện Nghi Xuân. </t>
  </si>
  <si>
    <t>Xã Xuân Thành</t>
  </si>
  <si>
    <t>2018-2020</t>
  </si>
  <si>
    <t>Xã Xuân Giang; các TT: Tiên Điền; Xuân An</t>
  </si>
  <si>
    <t>792/QĐ-UBND ngày 23/4/2020 của UBND huyện</t>
  </si>
  <si>
    <t>Các xã: Xuân Hải, Xuân Phổ</t>
  </si>
  <si>
    <t>17 điểm trên địa bàn huyện</t>
  </si>
  <si>
    <t>Nghị quyết số 82/NQ-HĐND ngày 17/4/2020</t>
  </si>
  <si>
    <t>1151/QĐ-UBND ngày 02/6/2020</t>
  </si>
  <si>
    <t>1133/QĐ-UBND ngày 27/5/2020</t>
  </si>
  <si>
    <t>TT Xuân An, xã Xuân Giang; TT Tiên Điền</t>
  </si>
  <si>
    <t xml:space="preserve">1334/QĐ-UBND ngày 29/6/2020 </t>
  </si>
  <si>
    <t>Dân dụng
 cấp 4</t>
  </si>
  <si>
    <t xml:space="preserve">1482/QĐ-UBND ngày 14/7/2020 </t>
  </si>
  <si>
    <t>Dân dụng 
cấp 3</t>
  </si>
  <si>
    <t>Trường bắn, thao trường huấn luyện quân sự huyện Nghi Xuân</t>
  </si>
  <si>
    <t>Diện tích khoảng 700m2; cấp III</t>
  </si>
  <si>
    <t>Nhà đa năng trường THPT Nguyến Công Trứ</t>
  </si>
  <si>
    <t>Nâng cấp tuyến đường với tổng chiều dài 1,0 Km, Bnền = 9m, Bmặt 5,5m, kết cấu mặt đường BTXM , đoạn qua khu dân cư bố trí mương thoát nước dọc</t>
  </si>
  <si>
    <t>Đường nối QL1A tới bãi đậu xe và bãi đậu xe đền chợ Củi, xã Xuân Hồng</t>
  </si>
  <si>
    <t>Sửa chữa khuôn viên trụ sở Công an huyện</t>
  </si>
  <si>
    <t>Hỗ trợ cải tạo, âng cấp hàng rào cổng nhà xe, sân nội bộ TT Chính trị</t>
  </si>
  <si>
    <t>GD</t>
  </si>
  <si>
    <t>(Kèm theo Công văn số             /UBND-TCKH ngày         /06/2021 của UBND huyện)</t>
  </si>
  <si>
    <t>PHỤ LỤC 02: DANH MỤC DỰ ÁN HOÀN THÀNH, CHUYỂN TIẾP SỬ DỤNG NGUỒN NGÂN SÁCH HUYỆN GIAI ĐOẠN 2021-2025</t>
  </si>
  <si>
    <t>Mã dự án (TABMIS)</t>
  </si>
  <si>
    <t>Địa điểm XD</t>
  </si>
  <si>
    <t>Lũy kế vốn đã bố trí cho dự án từ KC đến hết năm 2020</t>
  </si>
  <si>
    <t>Số quyết định ngày, tháng, năm ban hành</t>
  </si>
  <si>
    <t>Lĩnh vực nông nghiệp và phát triển nông thôn</t>
  </si>
  <si>
    <t>a</t>
  </si>
  <si>
    <t>Cấp 4</t>
  </si>
  <si>
    <t>b</t>
  </si>
  <si>
    <t>Các dự án dự kiến hoàn thành giai đoạn 2021-2025</t>
  </si>
  <si>
    <t>c</t>
  </si>
  <si>
    <t>Các dự án khởi công mới giai đoạn 2021-2025</t>
  </si>
  <si>
    <t>Hệ thống kênh thoát lũ xã Cổ Đạm, Xuân Liên.</t>
  </si>
  <si>
    <t>Lĩnh vực giáo dục và đào tạo</t>
  </si>
  <si>
    <t>Lĩnh vực giao thông</t>
  </si>
  <si>
    <t>Cấp 4</t>
  </si>
  <si>
    <t>Cấp 3</t>
  </si>
  <si>
    <t>Ngân sách huyện đối ứng</t>
  </si>
  <si>
    <t>CÁC DỰ ÁN SỬ DỤNG NGUỒN NGÂN SÁCH TỈNH BỔ SUNG CÓ MỤC TIÊU</t>
  </si>
  <si>
    <t>CÁC DỰ ÁN SỬ DỤNG NGUỒN NGÂN SÁCH TRUNG ƯƠNG</t>
  </si>
  <si>
    <t>Trong đó: Ngân sách TW, tỉnh</t>
  </si>
  <si>
    <t>Sao nhiều thế</t>
  </si>
  <si>
    <t>Ngân sách tỉnh, tw</t>
  </si>
  <si>
    <t>trong đó: Ngân sách NN</t>
  </si>
  <si>
    <t>Ngân sách tỉnh TW</t>
  </si>
  <si>
    <t>Khác</t>
  </si>
  <si>
    <t>KHác</t>
  </si>
  <si>
    <t>C</t>
  </si>
  <si>
    <t>CAC CÔNG TRÌNH KHỞI CÔNG MỚI GIAI ĐOẠN 2021-2025</t>
  </si>
  <si>
    <t>CÔNG TRÌNH HOÀN THÀNH ĐƯA VÀO SỬ DỤNG TRƯỚC NGÀY 31/12/2020</t>
  </si>
  <si>
    <t>CÔNG TRÌNH CHUỂN TIẾP SANG GIAI ĐOẠN 2021-2025</t>
  </si>
  <si>
    <t>Vỏ mộ Nghĩa trang liệt sỹ huyện Nghi Xuân</t>
  </si>
  <si>
    <t>1390/QĐ-UBND ngày 13/4/2021</t>
  </si>
  <si>
    <t>Chỉnh trang cây xanh đô thị, hạ tầng kỹ thuật trên một số tuyến đường trục chính huyện Nghi Xuân</t>
  </si>
  <si>
    <t>Hạ tầng kỹ thuật</t>
  </si>
  <si>
    <t>Cải tạo nhà 3 tầng Trụ sở Ủy ban nhân dân huyện Nghi Xuân và các hạng mục phụ trợ</t>
  </si>
  <si>
    <t>1483/QĐ-UBND ngày 14/7/2020</t>
  </si>
  <si>
    <t>1204/QĐ-UBND ngày 09/6/2020</t>
  </si>
  <si>
    <t>Nâng cấp, mở rộng tuyến đường dài khoảng 1,3Km, Bnền=9,0m; Bmặt=7,0m; Blềgc=2x1,0m=2,0m, kết cấu mặt đường bằng BTN và các công trình trên tuyến</t>
  </si>
  <si>
    <t>Xây dựng mới 336 mộ và vỏ mộ</t>
  </si>
  <si>
    <t>Hạ tầng xen dặm khu dân cư thôn Hội Tiến, xã Xuân Hội</t>
  </si>
  <si>
    <t>San lấp mặt bằng khu dân cư khoảng 1.000m2
Xây dựng tuyến đường nối khu quy hoạch lên tuyến đê Hội Thống với chiều dài khoảng 100m</t>
  </si>
  <si>
    <t>330/QĐ-UBND ngày 05/2/2021</t>
  </si>
  <si>
    <t>04 phòng chức năng + các phòng hành chính</t>
  </si>
  <si>
    <t>Dự thảo</t>
  </si>
  <si>
    <t>Nâng cấp sân, mương, bồn hoa cây cảnh; trang thiết bị dạy học.</t>
  </si>
  <si>
    <t>Xuân Thành</t>
  </si>
  <si>
    <t>Xã Xuân phổ</t>
  </si>
  <si>
    <t>2 tầng 8 phòng</t>
  </si>
  <si>
    <t>Sửa chữa, nâng cấp đập Khe Chọ, xã Xuân Lĩnh, huyện Nghi Xuân</t>
  </si>
  <si>
    <t>1915/QĐ-UBND ngày 27/4/2021 của UBND tỉnh</t>
  </si>
  <si>
    <t>Khắc phục, sửa chữa hồ Khe Làng, xã Xuân Hồng, huyện Nghi Xuân</t>
  </si>
  <si>
    <t>2393/QĐ-UBND ngày 29/7/2020 của UBND tỉnh</t>
  </si>
  <si>
    <t>Khôi phục nâng cấp trạm y tế xã Xuân Lĩnh, huyện Nghi Xuân</t>
  </si>
  <si>
    <t>QĐ số 2042/QĐ-UBND ngày 11/5/2021</t>
  </si>
  <si>
    <t xml:space="preserve">CÁC DỰ ÁN SỬ DỤNG NGUỒN NGÂN SÁCH TỈNH </t>
  </si>
  <si>
    <t>Nâng cấp tuyến đường giao thông liên xã Hải - Yên - Thành, huyện Nghi Xuân</t>
  </si>
  <si>
    <t xml:space="preserve">1127/QĐ-UBND ngày 07/4/2020 </t>
  </si>
  <si>
    <t xml:space="preserve">2053/QĐ-UBND ngày 27/6/2019 </t>
  </si>
  <si>
    <t xml:space="preserve">Nâng cấp tuyến đường giao thông liên xã Phổ - Hải - Yên, huyện Nghi Xuân </t>
  </si>
  <si>
    <t>Xuân hải, Xuân phổ, Xuân yên</t>
  </si>
  <si>
    <t>Xã Xuân Hải, xã Xuân Yên, xã Xuân Thành</t>
  </si>
  <si>
    <t>Xây dựng các tuyến đường nội thị của thị trấn Xuân An, huyện Nghi Xuân</t>
  </si>
  <si>
    <t>1086/QĐ-UBND ngày 12/4/2019</t>
  </si>
  <si>
    <t>Xây dựng tuyến đường với tổng chiều dài 3 km, Bnền = 7m, Bmặt 5m, kết cấu mặt đường bằng BTXM và các công trình trên tuyến</t>
  </si>
  <si>
    <t>Xây dựng tuyến đường qua khu xử lý rác thải tại xã Xuân Thành, huyện Nghi Xuân</t>
  </si>
  <si>
    <t>2659/QĐ-UBND ngày 09/08/2019</t>
  </si>
  <si>
    <t>3605/QĐ-UBND ngày 25/12/2020 của UBND huyện</t>
  </si>
  <si>
    <t>4837/QĐ-UBND ngày 25/11/2019 của UBND huyện</t>
  </si>
  <si>
    <t>02 cụm đèn tín hiệu giao thông tại  ngã tư chợ Xuân Yên; Ngã tư giao cắt đường Giang Tiên với đường Nguyễn Hành</t>
  </si>
  <si>
    <t>Lắp đặt cụm tín hiệu giao thông ngã tư giao đường ĐT.547 với đường ĐH.24 xã Xuân Yên</t>
  </si>
  <si>
    <t>01 cụm đèn tín hiệu giao thông tại ngã tư giao đường ĐT.547 với đường ĐH.24 xã Xuân Yên</t>
  </si>
  <si>
    <t xml:space="preserve">Trong đó: </t>
  </si>
  <si>
    <t>Nâng cấp khuôn viên và cải tạo nhà làm việc Khối đoàn thể UBMTTQ huyện</t>
  </si>
  <si>
    <t>Xây dựng tuyến đường An - Giang - Tiên - Yên (HL 12), huyện Nghi Xuân (Giai đoạn 1)</t>
  </si>
  <si>
    <t>TT Xuân An, xã Xuân Giang, Xuân Viên</t>
  </si>
  <si>
    <t>2024-2025</t>
  </si>
  <si>
    <t>Trong đó: vốn NS huyện</t>
  </si>
  <si>
    <t>Năm 2021</t>
  </si>
  <si>
    <t>Khôi phục bờ rào Trường Tiểu học và Mầm non xã Xuân Lam</t>
  </si>
  <si>
    <t>1918/QĐ-UBND ngày 27/4/2021 của UBND tỉnh</t>
  </si>
  <si>
    <t>Tuyến đường huyện lộ 01 (Giang - Viên - Lĩnh), huyện Nghi Xuân (giai đoạn 1)</t>
  </si>
  <si>
    <t>Xuân Giang, Xuân Viên</t>
  </si>
  <si>
    <t>TT Xuân An, xã Xuân Giang, TT Tiên Điền</t>
  </si>
  <si>
    <t>2012-2015</t>
  </si>
  <si>
    <t>232/QĐ-UBND ngày 25/1/2016 của UBND tỉnh</t>
  </si>
  <si>
    <t>Công trình hoàn thành đưa vào sử dụng</t>
  </si>
  <si>
    <t>Xuân An, Xuân Giang, Tiên Điền</t>
  </si>
  <si>
    <t>Nhà học bộ môn trường THCS Đan Trường Hội</t>
  </si>
  <si>
    <t>Cầu Trúc Bè, xã Xuân Lĩnh</t>
  </si>
  <si>
    <t>Xã Xuân Yên</t>
  </si>
  <si>
    <t>2 tầng 10 phòng; cấp III</t>
  </si>
  <si>
    <t>6 phòng học + 4 phòng chức năng</t>
  </si>
  <si>
    <t>05 phòng học bộ môn; 04 phòng hỗ trợ học tập, phụ trợ trưởng tiểu học Xuân Lam</t>
  </si>
  <si>
    <t>5 phòng bộ môn, 04 phòng học tạp phụ trợ</t>
  </si>
  <si>
    <t>Nạo vét lòng hồ và sửa chữa mái thượng lưu,</t>
  </si>
  <si>
    <t>Tuyến mương tiêu trục tiêu 05 đoạn qua Cầu Đồng Vanh đi ra Sông Lam</t>
  </si>
  <si>
    <t>Xây dựng tuyến mương tiêu bằng BTCT dài 1 km, kích thước (bxh)=(1,5x1,5)m</t>
  </si>
  <si>
    <t>Kiên cố hóa tuyến mương tưới tiêu đồng Đạ thôn Trung Vượng xã Xuân Liên</t>
  </si>
  <si>
    <t>Xây dựng tuyến kênh chính bằng BTCT dài khoảng 2km, kích thước (bxh)=(1,5x1,5)m; Công trình trên kênh bố trí 05 cống và 01 cầu tràn</t>
  </si>
  <si>
    <t xml:space="preserve">Nhà học 2 tầng 10 phòng và nhà vệ sinh giáo viên trường mầm non Tiên Điền, huyện Nghi Xuân </t>
  </si>
  <si>
    <t>Đường tránh lũ Xuân Hồng đi Xuân Lĩnh (HL10)</t>
  </si>
  <si>
    <t>Xã Xuân Hồng, Xuân Lĩnh</t>
  </si>
  <si>
    <t>+ Quy mô mặt cắt ngang như sau: bề rộng nền đường Bnền=9,0m; bề rộng mặt đường Bmặt=5,5m; bề rộng vỉa hè Bvh=2x1,75m</t>
  </si>
  <si>
    <t>Nâng cấp tuyến đường từ QL 1A vào mỏ đá B19 đến đền Thánh Mẩu xã Xuân Lam</t>
  </si>
  <si>
    <t>Nâng cấp tuyến đường HL01 (Giang - Viên - Lĩnh) đoạn qua thôn An Tiên, xã Xuân Giang</t>
  </si>
  <si>
    <t>Nâng cấp đường từ cầu Trộ Su đến sân Golf Xuân Thành</t>
  </si>
  <si>
    <t>Nhà học trường tiểu học Xuân Phổ, xã Xuân Phổ</t>
  </si>
  <si>
    <t>Nhà hiệu bộ trường THCS Thành Mỹ, xã Xuân Mỹ</t>
  </si>
  <si>
    <t>Nhà hiệu bộ, chức năng trường Mầm non Xuân Hải</t>
  </si>
  <si>
    <t>Nhà đa năng trường THCS Lam Hồng, Xã Xuân Hồng</t>
  </si>
  <si>
    <t>Nhà học trường Tiểu học Thị trấn Tiên Điền</t>
  </si>
  <si>
    <t>Nâng cấp sữa chữa khuôn viên Trung tâm chính trị huyện</t>
  </si>
  <si>
    <t>Nhà học trường Tiểu học Xuân Yên, xã Xuân Yên</t>
  </si>
  <si>
    <t>Nhà học 02 tầng 08 phòng trường THCS Hoa Liên</t>
  </si>
  <si>
    <t>2 tầng 10 phòng 900m2 cấp III</t>
  </si>
  <si>
    <t>Nhà 02 tầng 6 phòng chức năng MN Cổ Đạm</t>
  </si>
  <si>
    <t>Thời gian thực hiện</t>
  </si>
  <si>
    <t>Sửa chữa, nâng cấp hồ chứa nước Đồng Trày, xã Xuân Viên, huyện Nghi Xuân</t>
  </si>
  <si>
    <t>3526/QĐ-UBND ngày 25/10/2021 của UBND tỉnh</t>
  </si>
  <si>
    <t>Nhà học 02 tầng 08 phòng Trường Tiểu học Cương Gián 1</t>
  </si>
  <si>
    <t>Nhà học 2 tầng 10 phòng trường Tiểu học Xuân Hồng, cơ sở 2</t>
  </si>
  <si>
    <t>Nhà tắm công cộng và các hạng mục phụ trợ Quảng trường KDL Xuân Thành</t>
  </si>
  <si>
    <t>Khu du lịch Xuân Thành</t>
  </si>
  <si>
    <t>Cải tạo nâng cấp Trung tâm văn hóa - Truyền thông huyện Nghi Xuân</t>
  </si>
  <si>
    <t>Kế hoạch đầu tư trung hạn vốn ngân sách địa phương giai đoạn 2021-2025</t>
  </si>
  <si>
    <t>Năm 2022</t>
  </si>
  <si>
    <t>Lỹ kế khối lượng hoàn thành đến 31/10/2022</t>
  </si>
  <si>
    <t>Lũy kế khối lượng hoàn thành đến 31/10/2022</t>
  </si>
  <si>
    <t>Số vốn còn thiếu trên khối lượng hoàn thành đến 31/10/2022</t>
  </si>
  <si>
    <t>Nội dung</t>
  </si>
  <si>
    <t>Các dựa án sử dụng ngân sách huyện</t>
  </si>
  <si>
    <t>Các dự án ngân sách huyện đối ứng ngân sách tỉnh, tw</t>
  </si>
  <si>
    <t>Năm 2023</t>
  </si>
  <si>
    <t>Tổng mức đầu tư điều chỉnh</t>
  </si>
  <si>
    <t>Phần ngân sách huyện đối ứng điều chỉnh</t>
  </si>
  <si>
    <t>Nha cầu ngân sách huyện điều chỉnh</t>
  </si>
  <si>
    <t>Quyết định số 2580/QĐ-UBND ngày 15/9/2020 của UBND huyện</t>
  </si>
  <si>
    <t>1599/QĐ-UBND ngày 18/5/2022</t>
  </si>
  <si>
    <t>1681/QĐ-UBND ngày 10/5/2021</t>
  </si>
  <si>
    <t>3878/QĐ-UBND ngày 29/9/2021</t>
  </si>
  <si>
    <t xml:space="preserve">Nâng cấp, mở rộng tuyến đường TX02 xã Xuân Lĩnh, huyện Nghi Xuân  </t>
  </si>
  <si>
    <t>5264/QĐ-UBND  ngày 24/12/2021</t>
  </si>
  <si>
    <t>1493/QĐ-UBND ngày 10/5/2022</t>
  </si>
  <si>
    <t>1597/QĐ-UBND ngày 18/5/2022</t>
  </si>
  <si>
    <t>1598/QĐ-UBND ngày 18/5/2022</t>
  </si>
  <si>
    <t>2853/QĐ-UBND ngày 28/9/2022</t>
  </si>
  <si>
    <t>1957/QĐ-UBND ngày 03/6/2022</t>
  </si>
  <si>
    <t>2567/QĐ-UBND ngày 06/9/2022</t>
  </si>
  <si>
    <t>1586/QĐ-UBND ngày 17/5/2022</t>
  </si>
  <si>
    <t>1600/QĐ-UBND ngày 18/5/2022</t>
  </si>
  <si>
    <t>1433/QĐ-UBND ngày 04/5/2022</t>
  </si>
  <si>
    <t>Tổng mức đầu tư phê duyệt, điều chỉnh; khối lượng dự kiến</t>
  </si>
  <si>
    <t>Khắc phục và phòng, chống sạt lở kênh thoát hạ lưu tràn Đồng Ván, xã Xuân Hồng, huyện Nghi Xuân</t>
  </si>
  <si>
    <t xml:space="preserve">Trường THCS xã Xuân Viên, huyện Nghi Xuân - Hạng mục Khối phòng hành chính, học tập và phụ trợ </t>
  </si>
  <si>
    <t>Lắp đặt cụm đèn tín hiệu giao thông tại nút giao ngã tư chợ Cầu - xã Xuân Yên và di dời cụm đèn tín hiệu tại nút giao rẽ vào Khu di tích Nguyễn Du</t>
  </si>
  <si>
    <t>Nhu cầu sau điều chỉnh</t>
  </si>
  <si>
    <t>TỔNG HỢP VỐN ĐẦU TƯ NHU CẦU SAU KHI ĐIỀU CHỈNH</t>
  </si>
  <si>
    <t>2024-2026</t>
  </si>
  <si>
    <t>2024-2027</t>
  </si>
  <si>
    <t>2024-2028</t>
  </si>
  <si>
    <t>2024-2029</t>
  </si>
  <si>
    <t>2024-2030</t>
  </si>
  <si>
    <t>2024-2031</t>
  </si>
  <si>
    <t>Năm 2024 -2025</t>
  </si>
  <si>
    <t>Kế hoạch vốn đã bố trí năm 2021, 2022</t>
  </si>
  <si>
    <t xml:space="preserve">Tổng số </t>
  </si>
  <si>
    <t xml:space="preserve">Trong đó </t>
  </si>
  <si>
    <t>Nhà hiệu bộ và phòng học chức năng Trường tiểu học Xuân Giang</t>
  </si>
  <si>
    <t xml:space="preserve">Diện tích đất xây dựng khoảng 6000m2; sức chứa phòng khán giả khoảng 200-300 người </t>
  </si>
  <si>
    <t>Sân vận động huyện</t>
  </si>
  <si>
    <t>Nâng cấp tuyến đường nối Thị trấn Tiên Điền - Đền thờ Nguyễn Công Trứ - xã Xuân Mỹ</t>
  </si>
  <si>
    <t>Xã Xuân Mỹ, Xuân Giang, TT Tiên Điền</t>
  </si>
  <si>
    <t xml:space="preserve">Kế hoạch điều chỉnh </t>
  </si>
  <si>
    <t>Xây mới 6 phòng học, 4 phòng chức năng, làm lại cổng trường Mầm non Xuân Liên</t>
  </si>
  <si>
    <t>Nâng cấp, cải tạo hồ chứa nước Trúc Bè xã Xuân Lĩnh</t>
  </si>
  <si>
    <t>Đắp đất cấp 3 đầm chặt để mở rộng lòng hồ, sữa chữa tràn xã lũ, gia cố mái thượng lưu bằng đá hộc trong khung dầm BTCT</t>
  </si>
  <si>
    <t>2024-2032</t>
  </si>
  <si>
    <t>HỘI ĐỒNG NHÂN DÂN</t>
  </si>
  <si>
    <t>PHỤC LỤC 01: DANH MỤC SAU ĐIỀU CHỈNH CÁC DỰ ĐỐI ỨNG CÁC CÔNG TRÌNH SỬ DỤNG NSTW, NGÂN SÁCH TỈNH GIAI ĐOẠN 2021-2025</t>
  </si>
  <si>
    <t>(Kèm theo Nghị quyết số         /NQ-HĐND ngày        /12/2022 của HĐND huyện)</t>
  </si>
  <si>
    <t>HỘI ĐỒNG NHÂN DÂN HUYỆN</t>
  </si>
  <si>
    <t xml:space="preserve">  HUYỆN NGHI XUÂN</t>
  </si>
  <si>
    <t>PHỤ LỤC 03: DANH MỤC BỔ SUNG CÁC DỰ ÁN SỬ DỤNG VỐN NGÂN SÁCH HUYỆN GIAI ĐOẠN 2021-2025</t>
  </si>
  <si>
    <t>Tổng mức đầu tư phê duyệt, điều chỉnh</t>
  </si>
  <si>
    <t>Kế hoạch 5 năm ngân sách huyện bổ sung giai đoạn từ năm 2023-2025</t>
  </si>
  <si>
    <t>Nguồn đầu tư</t>
  </si>
  <si>
    <t xml:space="preserve">Nguồn sự nghiệp </t>
  </si>
  <si>
    <t>Nguồn khác</t>
  </si>
  <si>
    <t>Lĩnh vực Giáo dục và Đào tạo</t>
  </si>
  <si>
    <t>Nâng cấp nhà học 8 phòng và nhà hiệu bộ trường tiểu học Xuân Viên</t>
  </si>
  <si>
    <t>Nhà học Trường tiểu học Xuân Mỹ</t>
  </si>
  <si>
    <t>Cải tạo nhà đa năng Trường TH Xuân Mỹ</t>
  </si>
  <si>
    <t>Nhà hiệu bộ và các phòng chức năng trường Mầm non Xuân Mỹ</t>
  </si>
  <si>
    <t>Xây mới nhà học 02 tầng 8 phòng tiểu học Xuân Hồng</t>
  </si>
  <si>
    <t>Xây dựng nhà ăn bán trú và công trình phụ trợ tiểu học Xuân Hồng</t>
  </si>
  <si>
    <t>Xây mới 04 phòng chức năng; Nâng cấp sửa chữa nhà học 2 tầng 10 phòng trường MN Xuân Hồng (điểm 1)</t>
  </si>
  <si>
    <t>Xây dựng nhà ăn bán trú 2 tầng và khu nhà vệ sinh liền kề tiểu học Cổ Đạm</t>
  </si>
  <si>
    <t>Xây mới 8 phòng chức năng tiểu học Xuân Liên</t>
  </si>
  <si>
    <t>Tu sửa 14 phòng học xây từ 1996 (Lợp mái, sơn tường, cải tạo điện, cửa sổ và lắp đặt hệ thống phòng cháy) tiểu học Xuân Liên</t>
  </si>
  <si>
    <t>Nhà đa năng trường THCS Cương Gián, huyện Nghi Xuân</t>
  </si>
  <si>
    <t>Xã Cương Gián</t>
  </si>
  <si>
    <t>Nhà học chức năng Mầm non Cương Gián</t>
  </si>
  <si>
    <t>Nhà học 2 tầng 16 phòng tiểu học Cương Gián</t>
  </si>
  <si>
    <t>Nhà học bộ môn 2 tầng 12 phòng trường TH&amp;THCS Xuân Lĩnh</t>
  </si>
  <si>
    <t>Cải tạo, nâng cấp khuôn viên Trường THCS Xuân An</t>
  </si>
  <si>
    <t>Nhà học bộ môn trường THCS Nguyễn Trãi</t>
  </si>
  <si>
    <t xml:space="preserve">Nhà đa năng Trường THCS Phổ Hải </t>
  </si>
  <si>
    <t>Nhà truyền thống và thư viện, nhà học bộ môn trường THPT Nguyễn Du</t>
  </si>
  <si>
    <t>Nhà thư viện và bộ môn, nhà xưởng dạy nghề Trung tâm Giáo dục nghề nghiệp - GDTX huyện Nghi Xuân</t>
  </si>
  <si>
    <t>Hàng rào trường TH Xuân Lam</t>
  </si>
  <si>
    <t>Lĩnh vực Y tế</t>
  </si>
  <si>
    <t>Nâng cấp khuôn viên Trung tâm y tế huyện Nghi Xuân</t>
  </si>
  <si>
    <t>Xây dựng tuyến đường Du lịch từ xã Cương Gián đi qua Đồn Biên phòng Lạch Kèn đi Xuân Liên</t>
  </si>
  <si>
    <t>Xã Cương Gián, xã Xuân Liên</t>
  </si>
  <si>
    <t>Nâng cấp mở rộng đường Nguyễn Nhiệm, TT Tiên Điền (Đoạn từ Cổng sau Khu lưu niệm Nguyễn Du đến tiếp nối Tuyến đường L1)</t>
  </si>
  <si>
    <t>Lĩnh vực Hạ tầng kỹ thuật</t>
  </si>
  <si>
    <t>Hệ thống điện và điện chiếu sáng, các ki ốt kinh doanh và hạng mục phụ trợ cho bãi đậu xe đền chợ Củi</t>
  </si>
  <si>
    <t>Lắp đặt hệ thống trang trí, thiết bị TDTT và vui chơi giải trí Quảng trường Nguyễn Du</t>
  </si>
  <si>
    <t>Nâng cấp, mở rộng Quảng trường Khu du lịch biển Xuân Thành</t>
  </si>
  <si>
    <t>KDL Biển Xuân Thành</t>
  </si>
  <si>
    <t>Hệ thống điện chiếu sáng trên tuyến đường tránh QL1A đoạn qua huyện Nghi Xuân và tuyến nhánh</t>
  </si>
  <si>
    <t xml:space="preserve">Hệ thống điện chiếu sáng đường Nguyễn Công Trứ, huyện Nghi Xuân  </t>
  </si>
  <si>
    <t>Lĩnh vực Nông nghiệp và Phát triển nông thôn</t>
  </si>
  <si>
    <t>Xử lý cấp bách việc chống sạt lở bờ biển đoạn qua xã Xuân Hội, huyện Nghi Xuân</t>
  </si>
  <si>
    <t>Xây dựng trục tiêu TVI-04 đoạn từ xã Xuân Yên đến đê Bàu Dài</t>
  </si>
  <si>
    <t>Nâng cấp Hồ Hành Khiến, xã Cổ Đạm</t>
  </si>
  <si>
    <t>Tuyến mương tưới kết hợp tiêu xã Xuân Lĩnh</t>
  </si>
  <si>
    <t>Hạ tầng chống ngập úng ven biển làng Cam Lâm, xã. Xuân Liên</t>
  </si>
  <si>
    <t>Lĩnh vực Văn hóa, thông tin</t>
  </si>
  <si>
    <t>Sửa chữa nâng cấp đài truyền thanh ứng dụng công nghệ thông tin – viễn thông huyện Nghi Xuân và 17 đài truyền thanh cơ sở thuộc các xã, thị trấn</t>
  </si>
  <si>
    <t>Huyện Nghi Xuân</t>
  </si>
  <si>
    <t>Lĩnh vực hành chính</t>
  </si>
  <si>
    <t>Cải tạo trụ sở huyện ủy</t>
  </si>
  <si>
    <t>Cải tạo, nâng cấp Trụ sở Công an huyện Nghi Xuân</t>
  </si>
  <si>
    <t>Phòng trưng bày truyền thống huyện Nghi Xuân</t>
  </si>
  <si>
    <t>Chỉnh trang khu vực trung tâm hành chính huyện Nghi Xuân</t>
  </si>
  <si>
    <t>PHỤ LỤC 04: DANH MỤC BỔ SUNG ĐỐI ỨNG CÁC DỰ ÁN SỬ DỤNG NGÂN SÁCH TỈNH, TRUNG ƯƠNG  GIAI ĐOẠN 2021-2025</t>
  </si>
  <si>
    <t>Dự kiến kế hoạch vốn ngân sách huyện 2021-2025</t>
  </si>
  <si>
    <t>Ngân sách huyện, xã</t>
  </si>
  <si>
    <t>Dự án sử dụng ngân sách trung ương</t>
  </si>
  <si>
    <t>Hạ tầng khu du lịch biển Xuân Thành, huyện Nghi Xuân</t>
  </si>
  <si>
    <t>2022-2025</t>
  </si>
  <si>
    <t>Quyết định số 827/QĐ-UBND ngày 21/4/2022 UBND tỉnh</t>
  </si>
  <si>
    <t>UBND tỉnh</t>
  </si>
  <si>
    <t>Dự án thuộc Chương trình phục hồi kinh tế xã hội</t>
  </si>
  <si>
    <t>Trạm y tế xã Cổ Đạm</t>
  </si>
  <si>
    <t>Xã Cổ Đạm, huyện Nghi Xuân</t>
  </si>
  <si>
    <t>Trạm y tế xã Đan Trường</t>
  </si>
  <si>
    <t>Xã Đan Trường, huyện Nghi Xuân</t>
  </si>
  <si>
    <t>Nhà đa năng trường THCS Thành Mỹ</t>
  </si>
  <si>
    <t xml:space="preserve"> Nhà học 2 tầng trường THCS Thành Mỹ</t>
  </si>
  <si>
    <t>Kế hoạch 2021-2025 đã duyệt</t>
  </si>
  <si>
    <t>Nhà bộ môn và thư viện - Trường THCS thị trấn Xuân An, huyện Nghi Xuân</t>
  </si>
  <si>
    <t>Trung tâm văn hóa thể thao huyện Nghi Xuân</t>
  </si>
  <si>
    <t>Xây dựng trụ sở làm việc Ban quản lý KDL Xuân Thành và các CTCC huyện</t>
  </si>
  <si>
    <t>Nhà cấp 3</t>
  </si>
  <si>
    <t>Nâng cấp, sữa chữa Trạm bơm Đồng Bấn xã Xuân lam</t>
  </si>
  <si>
    <t>Nâng cấp nhà máy bơm, bể hút, hệ thống máy bơm và nạo vét lòng dẫn</t>
  </si>
  <si>
    <t>Xây dựng tuyến mương tiêu thoát lũ từ cống qua kênh Lam Hồng đến cống qua đường Quốc lộ 1A, xã Xuân Lam</t>
  </si>
  <si>
    <t>Xây dựng tuyến mương tiêu bằng BTCT dài 0,5km, kích thước (bxh)=(1,5x1,5)m</t>
  </si>
  <si>
    <t>Hạ tầng kỷ thuật khu tái định cư di dời các hộ dân vùng sạt lở xã Xuân Lam</t>
  </si>
  <si>
    <t>Hạ tầng kỷ thuật khu tái định cư 18 lô gồm san nền, đường nội bộ, mương thoát nước, hệ thống điện</t>
  </si>
  <si>
    <t>Số hóa hành chính, các khu di tích và du lịch huyện Nghi Xuân</t>
  </si>
  <si>
    <t>Đưa bản đồ hành chính, các khu di tích, du lịch lên web</t>
  </si>
  <si>
    <t>Trường học thông minh tại trường THCS Nguyễn Trãi</t>
  </si>
  <si>
    <t xml:space="preserve"> + Đầu tư mới hệ thống phòng học thông minh gồm thiết bị, phần mềm, hạ tầng mạng wifi cho 04 Phòng học thông minh cho các khối 6, 7, 8 và 9.
 + Trang cấp thiết bị thông minh cho 22 lớp học còn lại.
 + Đầu tư xây dựng hệ thống camera giám sát, hạ tầng kết nối cho các phòng học thông minh của trường.
+ Cải tạo dãy nhà học 2 tầng gồm 6 phòng học dành cho PHTM.</t>
  </si>
  <si>
    <t>Nâng cấp sửa chữa khu nhà dược TT y tế huyện</t>
  </si>
  <si>
    <t>Nâng cấp sửa chữa phòng khám TT y tế huyện</t>
  </si>
  <si>
    <t xml:space="preserve">Hệ thống cấp nước sạch thị trấn Xuân An </t>
  </si>
  <si>
    <r>
      <t>Lắp đặt bổ sung, xen dắm các tuyến ống cấp nước HDPE D110</t>
    </r>
    <r>
      <rPr>
        <sz val="11"/>
        <rFont val="Calibri"/>
        <family val="2"/>
      </rPr>
      <t>÷</t>
    </r>
    <r>
      <rPr>
        <sz val="11"/>
        <rFont val="Times New Roman"/>
        <family val="1"/>
      </rPr>
      <t>D40 đảm bảo cho việc cấp nước ổn định lâu dài, phát triển trong tương lai</t>
    </r>
  </si>
  <si>
    <t>Mở rộng Mạng lưới cấp nước sinh hoạt xã Xuân Hải, Xuân Phổ</t>
  </si>
  <si>
    <t>Xã Xuân Phổ, xã Xuân Hải</t>
  </si>
  <si>
    <t>PHỤ LỤC 02: DANH MỤC ĐIỀU CHỈNH CÁC DỰ ÁN SỬ DỤNG VỐN NGÂN SÁCH HUYỆN GIAI ĐOẠN 2021-2025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</si>
</sst>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111">
    <numFmt numFmtId="41" formatCode="_-* #,##0\ _₫_-;\-* #,##0\ _₫_-;_-* &quot;-&quot;\ _₫_-;_-@_-"/>
    <numFmt numFmtId="43" formatCode="_-* #,##0.00\ _₫_-;\-* #,##0.00\ _₫_-;_-* &quot;-&quot;??\ _₫_-;_-@_-"/>
    <numFmt numFmtId="164" formatCode="&quot;£&quot;#,##0;[Red]\-&quot;£&quot;#,##0"/>
    <numFmt numFmtId="165" formatCode="&quot;£&quot;#,##0.00;\-&quot;£&quot;#,##0.00"/>
    <numFmt numFmtId="166" formatCode="_-&quot;£&quot;* #,##0_-;\-&quot;£&quot;* #,##0_-;_-&quot;£&quot;* &quot;-&quot;_-;_-@_-"/>
    <numFmt numFmtId="167" formatCode="_-* #,##0_-;\-* #,##0_-;_-* &quot;-&quot;_-;_-@_-"/>
    <numFmt numFmtId="168" formatCode="_-* #,##0.00_-;\-* #,##0.00_-;_-* &quot;-&quot;??_-;_-@_-"/>
    <numFmt numFmtId="169" formatCode="_(* #,##0_);_(* \(#,##0\);_(* &quot;-&quot;_);_(@_)"/>
    <numFmt numFmtId="170" formatCode="_(* #,##0.00_);_(* \(#,##0.00\);_(* &quot;-&quot;??_);_(@_)"/>
    <numFmt numFmtId="171" formatCode="&quot;$&quot;#,##0_);\(&quot;$&quot;#,##0\)"/>
    <numFmt numFmtId="172" formatCode="&quot;$&quot;#,##0_);[Red]\(&quot;$&quot;#,##0\)"/>
    <numFmt numFmtId="173" formatCode="_(&quot;$&quot;* #,##0_);_(&quot;$&quot;* \(#,##0\);_(&quot;$&quot;* &quot;-&quot;_);_(@_)"/>
    <numFmt numFmtId="174" formatCode="_(&quot;$&quot;* #,##0.00_);_(&quot;$&quot;* \(#,##0.00\);_(&quot;$&quot;* &quot;-&quot;??_);_(@_)"/>
    <numFmt numFmtId="175" formatCode="_(* #,##0_);_(* \(#,##0\);_(* &quot;-&quot;??_);_(@_)"/>
    <numFmt numFmtId="176" formatCode="#,##0.00000"/>
    <numFmt numFmtId="177" formatCode="_-* #,##0.00\ _$_-;\-* #,##0.00\ _$_-;_-* &quot;-&quot;??\ _$_-;_-@_-"/>
    <numFmt numFmtId="178" formatCode="#,##0.000"/>
    <numFmt numFmtId="179" formatCode="&quot;True&quot;;&quot;True&quot;;&quot;False&quot;"/>
    <numFmt numFmtId="180" formatCode="#,##0.0"/>
    <numFmt numFmtId="181" formatCode="_-&quot;ñ&quot;* #,##0_-;\-&quot;ñ&quot;* #,##0_-;_-&quot;ñ&quot;* &quot;-&quot;_-;_-@_-"/>
    <numFmt numFmtId="182" formatCode="_-* #,##0\ &quot;F&quot;_-;\-* #,##0\ &quot;F&quot;_-;_-* &quot;-&quot;\ &quot;F&quot;_-;_-@_-"/>
    <numFmt numFmtId="183" formatCode="&quot;\&quot;#,##0;[Red]&quot;\&quot;&quot;\&quot;\-#,##0"/>
    <numFmt numFmtId="184" formatCode="#.##00"/>
    <numFmt numFmtId="185" formatCode="&quot;Rp&quot;#,##0_);[Red]\(&quot;Rp&quot;#,##0\)"/>
    <numFmt numFmtId="186" formatCode="_-&quot;$&quot;* #,##0_-;\-&quot;$&quot;* #,##0_-;_-&quot;$&quot;* &quot;-&quot;_-;_-@_-"/>
    <numFmt numFmtId="187" formatCode="_-* #,##0\ _F_-;\-* #,##0\ _F_-;_-* &quot;-&quot;\ _F_-;_-@_-"/>
    <numFmt numFmtId="188" formatCode="_ * #,##0_)\ &quot;$&quot;_ ;_ * \(#,##0\)\ &quot;$&quot;_ ;_ * &quot;-&quot;_)\ &quot;$&quot;_ ;_ @_ "/>
    <numFmt numFmtId="189" formatCode="_ * #,##0_)&quot;$&quot;_ ;_ * \(#,##0\)&quot;$&quot;_ ;_ * &quot;-&quot;_)&quot;$&quot;_ ;_ @_ "/>
    <numFmt numFmtId="190" formatCode="_-* #,##0.00\ _F_-;\-* #,##0.00\ _F_-;_-* &quot;-&quot;??\ _F_-;_-@_-"/>
    <numFmt numFmtId="191" formatCode="_ * #,##0.00_)\ _$_ ;_ * \(#,##0.00\)\ _$_ ;_ * &quot;-&quot;??_)\ _$_ ;_ @_ "/>
    <numFmt numFmtId="192" formatCode="_ * #,##0.00_)_$_ ;_ * \(#,##0.00\)_$_ ;_ * &quot;-&quot;??_)_$_ ;_ @_ "/>
    <numFmt numFmtId="193" formatCode="_-* #,##0.00\ _ñ_-;\-* #,##0.00\ _ñ_-;_-* &quot;-&quot;??\ _ñ_-;_-@_-"/>
    <numFmt numFmtId="194" formatCode="_-* #,##0.00\ _ñ_-;_-* #,##0.00\ _ñ\-;_-* &quot;-&quot;??\ _ñ_-;_-@_-"/>
    <numFmt numFmtId="195" formatCode="_(&quot;$&quot;\ * #,##0_);_(&quot;$&quot;\ * \(#,##0\);_(&quot;$&quot;\ * &quot;-&quot;_);_(@_)"/>
    <numFmt numFmtId="196" formatCode="_-* #,##0\ &quot;ñ&quot;_-;\-* #,##0\ &quot;ñ&quot;_-;_-* &quot;-&quot;\ &quot;ñ&quot;_-;_-@_-"/>
    <numFmt numFmtId="197" formatCode="_ * #,##0_)\ _$_ ;_ * \(#,##0\)\ _$_ ;_ * &quot;-&quot;_)\ _$_ ;_ @_ "/>
    <numFmt numFmtId="198" formatCode="_ * #,##0_)_$_ ;_ * \(#,##0\)_$_ ;_ * &quot;-&quot;_)_$_ ;_ @_ "/>
    <numFmt numFmtId="199" formatCode="_-* #,##0\ _ñ_-;\-* #,##0\ _ñ_-;_-* &quot;-&quot;\ _ñ_-;_-@_-"/>
    <numFmt numFmtId="200" formatCode="_-* #,##0\ _ñ_-;_-* #,##0\ _ñ\-;_-* &quot;-&quot;\ _ñ_-;_-@_-"/>
    <numFmt numFmtId="201" formatCode="_ &quot;\&quot;* #,##0_ ;_ &quot;\&quot;* \-#,##0_ ;_ &quot;\&quot;* &quot;-&quot;_ ;_ @_ "/>
    <numFmt numFmtId="202" formatCode="&quot;\&quot;#,##0.00;[Red]&quot;\&quot;\-#,##0.00"/>
    <numFmt numFmtId="203" formatCode="&quot;\&quot;#,##0;[Red]&quot;\&quot;\-#,##0"/>
    <numFmt numFmtId="204" formatCode="_ * #,##0_)\ &quot;F&quot;_ ;_ * \(#,##0\)\ &quot;F&quot;_ ;_ * &quot;-&quot;_)\ &quot;F&quot;_ ;_ @_ "/>
    <numFmt numFmtId="205" formatCode="_-&quot;F&quot;* #,##0_-;\-&quot;F&quot;* #,##0_-;_-&quot;F&quot;* &quot;-&quot;_-;_-@_-"/>
    <numFmt numFmtId="206" formatCode="_ * #,##0_ ;_ * \-#,##0_ ;_ * &quot;-&quot;_ ;_ @_ "/>
    <numFmt numFmtId="207" formatCode="_ * #,##0.00_)&quot;$&quot;_ ;_ * \(#,##0.00\)&quot;$&quot;_ ;_ * &quot;-&quot;??_)&quot;$&quot;_ ;_ @_ "/>
    <numFmt numFmtId="208" formatCode="_ * #,##0.00_ ;_ * \-#,##0.00_ ;_ * &quot;-&quot;??_ ;_ @_ "/>
    <numFmt numFmtId="209" formatCode="_ * #,##0.0_)_$_ ;_ * \(#,##0.0\)_$_ ;_ * &quot;-&quot;??_)_$_ ;_ @_ "/>
    <numFmt numFmtId="210" formatCode=";;"/>
    <numFmt numFmtId="211" formatCode="#,##0.0_);\(#,##0.0\)"/>
    <numFmt numFmtId="212" formatCode="0.0%"/>
    <numFmt numFmtId="213" formatCode="&quot;$&quot;#,##0.00"/>
    <numFmt numFmtId="214" formatCode="_ * #,##0.00_)&quot;£&quot;_ ;_ * \(#,##0.00\)&quot;£&quot;_ ;_ * &quot;-&quot;??_)&quot;£&quot;_ ;_ @_ "/>
    <numFmt numFmtId="215" formatCode="_-&quot;$&quot;* #,##0.00_-;\-&quot;$&quot;* #,##0.00_-;_-&quot;$&quot;* &quot;-&quot;??_-;_-@_-"/>
    <numFmt numFmtId="216" formatCode="0.0%;\(0.0%\)"/>
    <numFmt numFmtId="217" formatCode="_-* #,##0.00\ &quot;F&quot;_-;\-* #,##0.00\ &quot;F&quot;_-;_-* &quot;-&quot;??\ &quot;F&quot;_-;_-@_-"/>
    <numFmt numFmtId="218" formatCode="0.000_)"/>
    <numFmt numFmtId="219" formatCode="_(* #,##0.0_);_(* \(#,##0.0\);_(* &quot;-&quot;??_);_(@_)"/>
    <numFmt numFmtId="220" formatCode="_-* #,##0.00\ _V_N_D_-;\-* #,##0.00\ _V_N_D_-;_-* &quot;-&quot;??\ _V_N_D_-;_-@_-"/>
    <numFmt numFmtId="221" formatCode="0.0000"/>
    <numFmt numFmtId="222" formatCode="&quot;$&quot;#,##0;\-&quot;$&quot;#,##0"/>
    <numFmt numFmtId="223" formatCode="_(* #,##0.0_);_(* \(#,##0.0\);_(* &quot;-&quot;?_);_(@_)"/>
    <numFmt numFmtId="224" formatCode="#,##0\ &quot;þ&quot;;[Red]\-#,##0\ &quot;þ&quot;"/>
    <numFmt numFmtId="225" formatCode="#\ ###\ ###"/>
    <numFmt numFmtId="226" formatCode="_ &quot;R&quot;\ * #,##0_ ;_ &quot;R&quot;\ * \-#,##0_ ;_ &quot;R&quot;\ * &quot;-&quot;_ ;_ @_ "/>
    <numFmt numFmtId="227" formatCode="_ * #,##0.00_ ;_ * &quot;\&quot;&quot;\&quot;&quot;\&quot;&quot;\&quot;&quot;\&quot;&quot;\&quot;\-#,##0.00_ ;_ * &quot;-&quot;??_ ;_ @_ "/>
    <numFmt numFmtId="228" formatCode="&quot;\&quot;#,##0.00;&quot;\&quot;&quot;\&quot;&quot;\&quot;&quot;\&quot;&quot;\&quot;&quot;\&quot;&quot;\&quot;&quot;\&quot;\-#,##0.00"/>
    <numFmt numFmtId="229" formatCode="_ * #,##0_ ;_ * &quot;\&quot;&quot;\&quot;&quot;\&quot;&quot;\&quot;&quot;\&quot;&quot;\&quot;\-#,##0_ ;_ * &quot;-&quot;_ ;_ @_ "/>
    <numFmt numFmtId="230" formatCode="\$#,##0\ ;\(\$#,##0\)"/>
    <numFmt numFmtId="231" formatCode="&quot;$&quot;#,##0\ ;\(&quot;$&quot;#,##0\)"/>
    <numFmt numFmtId="232" formatCode="#\ ###\ ##0.0"/>
    <numFmt numFmtId="233" formatCode="\t0.00%"/>
    <numFmt numFmtId="234" formatCode="0.000"/>
    <numFmt numFmtId="235" formatCode="_(\§\g\ #,##0_);_(\§\g\ \(#,##0\);_(\§\g\ &quot;-&quot;??_);_(@_)"/>
    <numFmt numFmtId="236" formatCode="_(\§\g\ #,##0_);_(\§\g\ \(#,##0\);_(\§\g\ &quot;-&quot;_);_(@_)"/>
    <numFmt numFmtId="237" formatCode="#\ ###\ ###\ .00"/>
    <numFmt numFmtId="238" formatCode="\t#\ ??/??"/>
    <numFmt numFmtId="239" formatCode="\§\g#,##0_);\(\§\g#,##0\)"/>
    <numFmt numFmtId="240" formatCode="_-&quot;VND&quot;* #,##0_-;\-&quot;VND&quot;* #,##0_-;_-&quot;VND&quot;* &quot;-&quot;_-;_-@_-"/>
    <numFmt numFmtId="241" formatCode="_(&quot;Rp&quot;* #,##0.00_);_(&quot;Rp&quot;* \(#,##0.00\);_(&quot;Rp&quot;* &quot;-&quot;??_);_(@_)"/>
    <numFmt numFmtId="242" formatCode="#,##0.00\ &quot;FB&quot;;[Red]\-#,##0.00\ &quot;FB&quot;"/>
    <numFmt numFmtId="243" formatCode="#,##0\ &quot;$&quot;;\-#,##0\ &quot;$&quot;"/>
    <numFmt numFmtId="244" formatCode="_-* #,##0\ _F_B_-;\-* #,##0\ _F_B_-;_-* &quot;-&quot;\ _F_B_-;_-@_-"/>
    <numFmt numFmtId="245" formatCode="#,##0_);\-#,##0_)"/>
    <numFmt numFmtId="246" formatCode="#,###;\-#,###;&quot;&quot;;_(@_)"/>
    <numFmt numFmtId="247" formatCode="&quot;Fr.&quot;\ #,##0.00;&quot;Fr.&quot;\ \-#,##0.00"/>
    <numFmt numFmtId="248" formatCode="#,##0\ &quot;$&quot;_);\(#,##0\ &quot;$&quot;\)"/>
    <numFmt numFmtId="249" formatCode="&quot;Fr.&quot;\ #,##0.00;[Red]&quot;Fr.&quot;\ \-#,##0.00"/>
    <numFmt numFmtId="250" formatCode="_ &quot;Fr.&quot;\ * #,##0_ ;_ &quot;Fr.&quot;\ * \-#,##0_ ;_ &quot;Fr.&quot;\ * &quot;-&quot;_ ;_ @_ "/>
    <numFmt numFmtId="251" formatCode="&quot;\&quot;#,##0;[Red]\-&quot;\&quot;#,##0"/>
    <numFmt numFmtId="252" formatCode="&quot;\&quot;#,##0.00;\-&quot;\&quot;#,##0.00"/>
    <numFmt numFmtId="253" formatCode="0.00_)"/>
    <numFmt numFmtId="254" formatCode="#,##0.00_);\-#,##0.00_)"/>
    <numFmt numFmtId="255" formatCode="#,##0.000_);\(#,##0.000\)"/>
    <numFmt numFmtId="256" formatCode="#"/>
    <numFmt numFmtId="257" formatCode="&quot;¡Ì&quot;#,##0;[Red]\-&quot;¡Ì&quot;#,##0"/>
    <numFmt numFmtId="258" formatCode="#,##0.00\ &quot;F&quot;;[Red]\-#,##0.00\ &quot;F&quot;"/>
    <numFmt numFmtId="259" formatCode="#,##0.00\ \ "/>
    <numFmt numFmtId="260" formatCode="0.00000000000E+00;\?"/>
    <numFmt numFmtId="261" formatCode="_ * #,##0_ ;_ * \-#,##0_ ;_ * &quot;-&quot;??_ ;_ @_ "/>
    <numFmt numFmtId="262" formatCode="0.00000"/>
    <numFmt numFmtId="263" formatCode="_(* #.##0.00_);_(* \(#.##0.00\);_(* &quot;-&quot;??_);_(@_)"/>
    <numFmt numFmtId="264" formatCode="#,##0.00\ \ \ \ "/>
    <numFmt numFmtId="265" formatCode="&quot;$&quot;#,##0;[Red]\-&quot;$&quot;#,##0"/>
    <numFmt numFmtId="266" formatCode="#,##0\ &quot;F&quot;;[Red]\-#,##0\ &quot;F&quot;"/>
    <numFmt numFmtId="267" formatCode="_ * #.##._ ;_ * \-#.##._ ;_ * &quot;-&quot;??_ ;_ @_ⴆ"/>
    <numFmt numFmtId="268" formatCode="_-* #,##0\ _F_-;\-* #,##0\ _F_-;_-* &quot;-&quot;??\ _F_-;_-@_-"/>
    <numFmt numFmtId="269" formatCode="_-* ###,0&quot;.&quot;00_-;\-* ###,0&quot;.&quot;00_-;_-* &quot;-&quot;??_-;_-@_-"/>
    <numFmt numFmtId="270" formatCode="_-&quot;$&quot;* ###,0&quot;.&quot;00_-;\-&quot;$&quot;* ###,0&quot;.&quot;00_-;_-&quot;$&quot;* &quot;-&quot;??_-;_-@_-"/>
    <numFmt numFmtId="271" formatCode="#,##0.00\ &quot;F&quot;;\-#,##0.00\ &quot;F&quot;"/>
    <numFmt numFmtId="272" formatCode="&quot;\&quot;#,##0;&quot;\&quot;&quot;\&quot;&quot;\&quot;&quot;\&quot;&quot;\&quot;&quot;\&quot;&quot;\&quot;\-#,##0"/>
  </numFmts>
  <fonts count="200">
    <font>
      <sz val="11"/>
      <color theme="1"/>
      <name val="Calibri"/>
      <family val="2"/>
      <scheme val="minor"/>
    </font>
    <font>
      <sz val="11"/>
      <color theme="1"/>
      <name val="Calibri"/>
      <family val="2"/>
      <charset val="163"/>
      <scheme val="minor"/>
    </font>
    <font>
      <sz val="11"/>
      <color theme="1"/>
      <name val="Calibri"/>
      <family val="2"/>
      <charset val="163"/>
      <scheme val="minor"/>
    </font>
    <font>
      <sz val="11"/>
      <color theme="1"/>
      <name val="Calibri"/>
      <family val="2"/>
      <charset val="163"/>
      <scheme val="minor"/>
    </font>
    <font>
      <sz val="11"/>
      <color theme="1"/>
      <name val="Calibri"/>
      <family val="2"/>
      <charset val="163"/>
      <scheme val="minor"/>
    </font>
    <font>
      <sz val="11"/>
      <color theme="1"/>
      <name val="Calibri"/>
      <family val="2"/>
      <scheme val="minor"/>
    </font>
    <font>
      <sz val="10"/>
      <name val="Arial"/>
      <family val="2"/>
    </font>
    <font>
      <sz val="12"/>
      <name val="Times New Roman"/>
      <family val="1"/>
    </font>
    <font>
      <b/>
      <sz val="12"/>
      <name val="Times New Roman"/>
      <family val="1"/>
    </font>
    <font>
      <i/>
      <sz val="12"/>
      <name val="Times New Roman"/>
      <family val="1"/>
    </font>
    <font>
      <sz val="11"/>
      <color theme="1"/>
      <name val="Calibri"/>
      <family val="2"/>
      <charset val="163"/>
      <scheme val="minor"/>
    </font>
    <font>
      <sz val="10"/>
      <name val="Times New Roman"/>
      <family val="1"/>
    </font>
    <font>
      <sz val="11"/>
      <color indexed="8"/>
      <name val="Calibri"/>
      <family val="2"/>
    </font>
    <font>
      <sz val="12"/>
      <name val=".VnTime"/>
      <family val="2"/>
    </font>
    <font>
      <sz val="12"/>
      <name val="Calibri"/>
      <family val="2"/>
      <scheme val="minor"/>
    </font>
    <font>
      <b/>
      <sz val="9"/>
      <color indexed="81"/>
      <name val="Tahoma"/>
      <family val="2"/>
    </font>
    <font>
      <sz val="9"/>
      <color indexed="81"/>
      <name val="Tahoma"/>
      <family val="2"/>
    </font>
    <font>
      <b/>
      <sz val="10"/>
      <name val="Times New Roman"/>
      <family val="1"/>
    </font>
    <font>
      <sz val="14"/>
      <name val="Times New Roman"/>
      <family val="1"/>
    </font>
    <font>
      <b/>
      <sz val="14"/>
      <name val="Times New Roman"/>
      <family val="1"/>
    </font>
    <font>
      <i/>
      <sz val="14"/>
      <name val="Times New Roman"/>
      <family val="1"/>
    </font>
    <font>
      <b/>
      <u/>
      <sz val="10"/>
      <name val="Times New Roman"/>
      <family val="1"/>
    </font>
    <font>
      <sz val="10"/>
      <name val=".VnArial Narrow"/>
      <family val="2"/>
    </font>
    <font>
      <sz val="13"/>
      <name val="Times New Roman"/>
      <family val="1"/>
    </font>
    <font>
      <b/>
      <sz val="13"/>
      <name val="Times New Roman"/>
      <family val="1"/>
    </font>
    <font>
      <sz val="13"/>
      <name val="Arial"/>
      <family val="2"/>
    </font>
    <font>
      <b/>
      <sz val="13"/>
      <name val="Arial"/>
      <family val="2"/>
    </font>
    <font>
      <sz val="13"/>
      <name val="Times New Roman"/>
      <family val="1"/>
      <charset val="163"/>
    </font>
    <font>
      <b/>
      <sz val="13"/>
      <name val="Times New Roman"/>
      <family val="1"/>
      <charset val="163"/>
    </font>
    <font>
      <b/>
      <i/>
      <sz val="13"/>
      <name val="Times New Roman"/>
      <family val="1"/>
    </font>
    <font>
      <sz val="12"/>
      <name val="Times New Roman"/>
      <family val="2"/>
    </font>
    <font>
      <sz val="13"/>
      <name val="Cambria"/>
      <family val="1"/>
      <charset val="163"/>
    </font>
    <font>
      <sz val="13"/>
      <name val="Calibri"/>
      <family val="2"/>
      <scheme val="minor"/>
    </font>
    <font>
      <b/>
      <sz val="13"/>
      <name val="Calibri"/>
      <family val="2"/>
      <scheme val="minor"/>
    </font>
    <font>
      <sz val="11"/>
      <name val="Times New Roman"/>
      <family val="1"/>
    </font>
    <font>
      <b/>
      <u/>
      <sz val="12"/>
      <name val="Times New Roman"/>
      <family val="1"/>
    </font>
    <font>
      <sz val="12"/>
      <name val="Arial"/>
      <family val="2"/>
    </font>
    <font>
      <sz val="12"/>
      <name val="VNI-Times"/>
    </font>
    <font>
      <sz val="10"/>
      <color indexed="8"/>
      <name val="MS Sans Serif"/>
      <family val="2"/>
    </font>
    <font>
      <sz val="12"/>
      <name val="돋움체"/>
      <family val="3"/>
      <charset val="129"/>
    </font>
    <font>
      <sz val="12"/>
      <name val="VNtimes new roman"/>
      <family val="2"/>
    </font>
    <font>
      <sz val="9"/>
      <name val="Arial"/>
      <family val="2"/>
    </font>
    <font>
      <sz val="10"/>
      <name val=".VnTime"/>
      <family val="2"/>
    </font>
    <font>
      <sz val="10"/>
      <name val="VNI-Times"/>
    </font>
    <font>
      <sz val="10"/>
      <name val="?? ??"/>
      <family val="1"/>
      <charset val="136"/>
    </font>
    <font>
      <sz val="12"/>
      <name val=".VnArial"/>
      <family val="2"/>
    </font>
    <font>
      <sz val="10"/>
      <name val="??"/>
      <family val="3"/>
      <charset val="129"/>
    </font>
    <font>
      <sz val="12"/>
      <name val="????"/>
      <family val="1"/>
      <charset val="136"/>
    </font>
    <font>
      <sz val="12"/>
      <name val="Courier"/>
      <family val="3"/>
    </font>
    <font>
      <sz val="10"/>
      <name val="AngsanaUPC"/>
      <family val="1"/>
    </font>
    <font>
      <sz val="12"/>
      <name val="|??¢¥¢¬¨Ï"/>
      <family val="1"/>
      <charset val="129"/>
    </font>
    <font>
      <b/>
      <sz val="12"/>
      <name val="Arial"/>
      <family val="2"/>
    </font>
    <font>
      <sz val="10"/>
      <name val="Helv"/>
      <family val="2"/>
    </font>
    <font>
      <sz val="10"/>
      <color indexed="8"/>
      <name val="Arial"/>
      <family val="2"/>
    </font>
    <font>
      <sz val="10"/>
      <color indexed="8"/>
      <name val="Arial"/>
      <family val="2"/>
      <charset val="163"/>
    </font>
    <font>
      <sz val="10"/>
      <name val="MS Sans Serif"/>
      <family val="2"/>
    </font>
    <font>
      <sz val="12"/>
      <name val="???"/>
    </font>
    <font>
      <sz val="11"/>
      <name val="‚l‚r ‚oƒSƒVƒbƒN"/>
      <family val="3"/>
      <charset val="128"/>
    </font>
    <font>
      <sz val="11"/>
      <name val="–¾’©"/>
      <family val="1"/>
      <charset val="128"/>
    </font>
    <font>
      <sz val="14"/>
      <name val="Terminal"/>
      <family val="3"/>
      <charset val="128"/>
    </font>
    <font>
      <sz val="14"/>
      <name val="VnTime"/>
    </font>
    <font>
      <sz val="10"/>
      <name val=".VnArial"/>
      <family val="2"/>
    </font>
    <font>
      <b/>
      <u/>
      <sz val="14"/>
      <color indexed="8"/>
      <name val=".VnBook-AntiquaH"/>
      <family val="2"/>
    </font>
    <font>
      <sz val="11"/>
      <name val=".VnTime"/>
      <family val="2"/>
    </font>
    <font>
      <b/>
      <u/>
      <sz val="10"/>
      <name val="VNI-Times"/>
    </font>
    <font>
      <b/>
      <sz val="10"/>
      <name val=".VnArial"/>
      <family val="2"/>
    </font>
    <font>
      <sz val="10"/>
      <name val="VnTimes"/>
      <family val="1"/>
    </font>
    <font>
      <sz val="12"/>
      <color indexed="10"/>
      <name val=".VnArial Narrow"/>
      <family val="2"/>
    </font>
    <font>
      <sz val="12"/>
      <color indexed="8"/>
      <name val="¹ÙÅÁÃ¼"/>
      <family val="1"/>
      <charset val="129"/>
    </font>
    <font>
      <i/>
      <sz val="12"/>
      <color indexed="8"/>
      <name val=".VnBook-AntiquaH"/>
      <family val="2"/>
    </font>
    <font>
      <b/>
      <sz val="12"/>
      <color indexed="8"/>
      <name val=".VnBook-Antiqua"/>
      <family val="2"/>
    </font>
    <font>
      <i/>
      <sz val="12"/>
      <color indexed="8"/>
      <name val=".VnBook-Antiqua"/>
      <family val="2"/>
    </font>
    <font>
      <sz val="14"/>
      <name val=".VnTimeH"/>
      <family val="2"/>
    </font>
    <font>
      <sz val="14"/>
      <name val=".VnTime"/>
      <family val="2"/>
    </font>
    <font>
      <sz val="14"/>
      <name val="VNI-Times"/>
    </font>
    <font>
      <sz val="12"/>
      <name val="¹UAAA¼"/>
      <family val="3"/>
      <charset val="129"/>
    </font>
    <font>
      <sz val="11"/>
      <name val="VNI-Times"/>
    </font>
    <font>
      <sz val="8"/>
      <name val="Times New Roman"/>
      <family val="1"/>
    </font>
    <font>
      <b/>
      <sz val="12"/>
      <color indexed="63"/>
      <name val="VNI-Times"/>
    </font>
    <font>
      <sz val="12"/>
      <name val="¹ÙÅÁÃ¼"/>
      <charset val="129"/>
    </font>
    <font>
      <sz val="12"/>
      <name val="Tms Rmn"/>
    </font>
    <font>
      <sz val="13"/>
      <name val=".VnTime"/>
      <family val="2"/>
    </font>
    <font>
      <sz val="11"/>
      <name val="µ¸¿ò"/>
      <charset val="129"/>
    </font>
    <font>
      <sz val="10"/>
      <name val="±¼¸²A¼"/>
      <family val="3"/>
      <charset val="129"/>
    </font>
    <font>
      <sz val="12"/>
      <name val="¹ÙÅÁÃ¼"/>
      <family val="1"/>
      <charset val="129"/>
    </font>
    <font>
      <sz val="10"/>
      <name val="Helv"/>
    </font>
    <font>
      <b/>
      <sz val="10"/>
      <name val="Helv"/>
    </font>
    <font>
      <sz val="10"/>
      <name val="VNI-Aptima"/>
    </font>
    <font>
      <sz val="11"/>
      <name val="Tms Rmn"/>
    </font>
    <font>
      <sz val="11"/>
      <name val="UVnTime"/>
    </font>
    <font>
      <sz val="12"/>
      <name val="VNI-Aptima"/>
    </font>
    <font>
      <b/>
      <sz val="12"/>
      <name val="VNTime"/>
      <family val="2"/>
    </font>
    <font>
      <sz val="10"/>
      <name val="MS Serif"/>
      <family val="1"/>
    </font>
    <font>
      <sz val="11"/>
      <name val="VNtimes new roman"/>
      <family val="2"/>
    </font>
    <font>
      <sz val="12"/>
      <name val="???"/>
      <family val="3"/>
      <charset val="129"/>
    </font>
    <font>
      <b/>
      <sz val="12"/>
      <name val="VNTimeH"/>
      <family val="2"/>
    </font>
    <font>
      <sz val="10"/>
      <name val="Arial CE"/>
      <charset val="238"/>
    </font>
    <font>
      <sz val="10"/>
      <color indexed="16"/>
      <name val="MS Serif"/>
      <family val="1"/>
    </font>
    <font>
      <sz val="10"/>
      <name val="VNI-Helve-Condense"/>
    </font>
    <font>
      <sz val="12"/>
      <name val="VNTime"/>
      <family val="2"/>
    </font>
    <font>
      <sz val="8"/>
      <name val="Arial"/>
      <family val="2"/>
    </font>
    <font>
      <b/>
      <sz val="11"/>
      <name val="Times New Roman"/>
      <family val="1"/>
    </font>
    <font>
      <sz val="10"/>
      <name val=".VnArialH"/>
      <family val="2"/>
    </font>
    <font>
      <b/>
      <sz val="12"/>
      <name val=".VnBook-AntiquaH"/>
      <family val="2"/>
    </font>
    <font>
      <b/>
      <sz val="12"/>
      <color indexed="9"/>
      <name val="Tms Rmn"/>
    </font>
    <font>
      <b/>
      <sz val="12"/>
      <name val="Helv"/>
    </font>
    <font>
      <b/>
      <sz val="8"/>
      <name val="MS Sans Serif"/>
      <family val="2"/>
    </font>
    <font>
      <b/>
      <sz val="10"/>
      <name val=".VnTime"/>
      <family val="2"/>
    </font>
    <font>
      <b/>
      <sz val="14"/>
      <name val=".VnTimeH"/>
      <family val="2"/>
    </font>
    <font>
      <sz val="12"/>
      <name val="±¼¸²Ã¼"/>
      <family val="3"/>
      <charset val="129"/>
    </font>
    <font>
      <u/>
      <sz val="10"/>
      <color indexed="12"/>
      <name val=".VnTime"/>
      <family val="2"/>
    </font>
    <font>
      <u/>
      <sz val="12"/>
      <color indexed="12"/>
      <name val=".VnTime"/>
      <family val="2"/>
    </font>
    <font>
      <u/>
      <sz val="12"/>
      <color indexed="12"/>
      <name val="Arial"/>
      <family val="2"/>
    </font>
    <font>
      <i/>
      <sz val="10"/>
      <name val=".VnTime"/>
      <family val="2"/>
    </font>
    <font>
      <sz val="8"/>
      <name val="VNarial"/>
      <family val="2"/>
    </font>
    <font>
      <b/>
      <sz val="11"/>
      <name val="Helv"/>
    </font>
    <font>
      <sz val="10"/>
      <name val="Arial"/>
      <family val="2"/>
      <charset val="163"/>
    </font>
    <font>
      <sz val="7"/>
      <name val="Small Fonts"/>
      <family val="2"/>
    </font>
    <font>
      <b/>
      <sz val="12"/>
      <name val="VN-NTime"/>
    </font>
    <font>
      <b/>
      <i/>
      <sz val="16"/>
      <name val="Helv"/>
    </font>
    <font>
      <sz val="12"/>
      <name val="바탕체"/>
      <family val="1"/>
      <charset val="129"/>
    </font>
    <font>
      <sz val="12"/>
      <name val="timesnewroman"/>
    </font>
    <font>
      <sz val="11"/>
      <color theme="1"/>
      <name val="Arial"/>
      <family val="2"/>
    </font>
    <font>
      <sz val="10"/>
      <color indexed="8"/>
      <name val="Times New Roman"/>
      <family val="2"/>
    </font>
    <font>
      <sz val="11"/>
      <color theme="1"/>
      <name val="Calibri"/>
      <family val="2"/>
    </font>
    <font>
      <sz val="12"/>
      <color theme="1"/>
      <name val="Times New Roman"/>
      <family val="2"/>
      <charset val="163"/>
    </font>
    <font>
      <sz val="11"/>
      <name val="VNI-Aptima"/>
    </font>
    <font>
      <b/>
      <sz val="11"/>
      <name val="Arial"/>
      <family val="2"/>
    </font>
    <font>
      <sz val="14"/>
      <name val=".VnArial Narrow"/>
      <family val="2"/>
    </font>
    <font>
      <sz val="12"/>
      <name val="Helv"/>
    </font>
    <font>
      <b/>
      <sz val="10"/>
      <name val="MS Sans Serif"/>
      <family val="2"/>
    </font>
    <font>
      <sz val="8"/>
      <name val="Wingdings"/>
      <charset val="2"/>
    </font>
    <font>
      <sz val="8"/>
      <name val="Helv"/>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sz val="11"/>
      <name val="3C_Times_T"/>
    </font>
    <font>
      <sz val="8"/>
      <name val="MS Sans Serif"/>
      <family val="2"/>
    </font>
    <font>
      <b/>
      <sz val="10.5"/>
      <name val=".VnAvantH"/>
      <family val="2"/>
    </font>
    <font>
      <sz val="10"/>
      <name val="VNbook-Antiqua"/>
      <family val="2"/>
    </font>
    <font>
      <sz val="11"/>
      <color indexed="32"/>
      <name val="VNI-Times"/>
    </font>
    <font>
      <b/>
      <sz val="8"/>
      <color indexed="8"/>
      <name val="Helv"/>
    </font>
    <font>
      <sz val="10"/>
      <name val="Symbol"/>
      <family val="1"/>
      <charset val="2"/>
    </font>
    <font>
      <sz val="13"/>
      <name val=".VnArial"/>
      <family val="2"/>
    </font>
    <font>
      <b/>
      <sz val="10"/>
      <name val="VNI-Univer"/>
    </font>
    <font>
      <sz val="10"/>
      <name val=".VnBook-Antiqua"/>
      <family val="2"/>
    </font>
    <font>
      <sz val="12"/>
      <name val="VnTime"/>
    </font>
    <font>
      <b/>
      <sz val="12"/>
      <name val="VNI-Times"/>
    </font>
    <font>
      <sz val="11"/>
      <name val=".VnAvant"/>
      <family val="2"/>
    </font>
    <font>
      <b/>
      <sz val="13"/>
      <color indexed="8"/>
      <name val=".VnTimeH"/>
      <family val="2"/>
    </font>
    <font>
      <b/>
      <u val="double"/>
      <sz val="12"/>
      <color indexed="12"/>
      <name val=".VnBahamasB"/>
      <family val="2"/>
    </font>
    <font>
      <b/>
      <i/>
      <u/>
      <sz val="12"/>
      <name val=".VnTimeH"/>
      <family val="2"/>
    </font>
    <font>
      <sz val="9.5"/>
      <name val=".VnBlackH"/>
      <family val="2"/>
    </font>
    <font>
      <b/>
      <sz val="10"/>
      <name val=".VnBahamasBH"/>
      <family val="2"/>
    </font>
    <font>
      <b/>
      <sz val="11"/>
      <name val=".VnArialH"/>
      <family val="2"/>
    </font>
    <font>
      <b/>
      <sz val="10"/>
      <name val=".VnTimeH"/>
      <family val="2"/>
    </font>
    <font>
      <b/>
      <sz val="11"/>
      <name val=".VnTimeH"/>
      <family val="2"/>
    </font>
    <font>
      <b/>
      <sz val="10"/>
      <name val=".VnArialH"/>
      <family val="2"/>
    </font>
    <font>
      <sz val="10"/>
      <name val=".VnAvant"/>
      <family val="2"/>
    </font>
    <font>
      <sz val="10"/>
      <name val="VNtimes new roman"/>
      <family val="2"/>
    </font>
    <font>
      <sz val="14"/>
      <name val="VnTime"/>
      <family val="2"/>
    </font>
    <font>
      <b/>
      <sz val="8"/>
      <name val="VN Helvetica"/>
    </font>
    <font>
      <b/>
      <sz val="12"/>
      <name val=".VnTime"/>
      <family val="2"/>
    </font>
    <font>
      <b/>
      <sz val="10"/>
      <name val="VN AvantGBook"/>
    </font>
    <font>
      <b/>
      <sz val="16"/>
      <name val=".VnTime"/>
      <family val="2"/>
    </font>
    <font>
      <sz val="9"/>
      <name val=".VnTime"/>
      <family val="2"/>
    </font>
    <font>
      <sz val="10"/>
      <name val="Geneva"/>
      <family val="2"/>
    </font>
    <font>
      <sz val="14"/>
      <name val=".VnArial"/>
      <family val="2"/>
    </font>
    <font>
      <sz val="16"/>
      <name val="AngsanaUPC"/>
      <family val="3"/>
    </font>
    <font>
      <sz val="10"/>
      <name val=" "/>
      <family val="1"/>
      <charset val="136"/>
    </font>
    <font>
      <sz val="14"/>
      <name val="뼻뮝"/>
      <family val="3"/>
      <charset val="129"/>
    </font>
    <font>
      <sz val="12"/>
      <color indexed="8"/>
      <name val="바탕체"/>
      <family val="3"/>
    </font>
    <font>
      <sz val="12"/>
      <name val="뼻뮝"/>
      <family val="1"/>
      <charset val="129"/>
    </font>
    <font>
      <sz val="10"/>
      <name val="명조"/>
      <family val="3"/>
      <charset val="129"/>
    </font>
    <font>
      <sz val="10"/>
      <name val="돋움체"/>
      <family val="3"/>
      <charset val="129"/>
    </font>
    <font>
      <b/>
      <i/>
      <sz val="12"/>
      <name val="Times New Roman"/>
      <family val="1"/>
    </font>
    <font>
      <b/>
      <u/>
      <sz val="13"/>
      <name val="Times New Roman"/>
      <family val="1"/>
    </font>
    <font>
      <sz val="12"/>
      <color rgb="FFFF0000"/>
      <name val="Times New Roman"/>
      <family val="1"/>
    </font>
    <font>
      <b/>
      <sz val="15"/>
      <name val="Times New Roman"/>
      <family val="1"/>
    </font>
    <font>
      <i/>
      <sz val="15"/>
      <name val="Times New Roman"/>
      <family val="1"/>
    </font>
    <font>
      <u/>
      <sz val="12"/>
      <color indexed="12"/>
      <name val="Times New Roman"/>
      <family val="1"/>
    </font>
    <font>
      <b/>
      <sz val="12"/>
      <color rgb="FFFF0000"/>
      <name val="Times New Roman"/>
      <family val="1"/>
    </font>
    <font>
      <b/>
      <sz val="11"/>
      <name val="Calibri"/>
      <family val="2"/>
      <scheme val="minor"/>
    </font>
    <font>
      <b/>
      <i/>
      <sz val="11"/>
      <name val="Times New Roman"/>
      <family val="1"/>
    </font>
    <font>
      <b/>
      <sz val="11"/>
      <name val="Calibri"/>
      <family val="2"/>
    </font>
    <font>
      <b/>
      <sz val="9"/>
      <name val="Times New Roman"/>
      <family val="1"/>
    </font>
    <font>
      <b/>
      <sz val="8"/>
      <name val="Times New Roman"/>
      <family val="1"/>
    </font>
    <font>
      <b/>
      <u/>
      <sz val="18"/>
      <name val="Times New Roman"/>
      <family val="1"/>
    </font>
    <font>
      <sz val="11"/>
      <name val="Calibri"/>
      <family val="2"/>
      <scheme val="minor"/>
    </font>
    <font>
      <sz val="14"/>
      <name val="Calibri"/>
      <family val="2"/>
      <scheme val="minor"/>
    </font>
    <font>
      <b/>
      <sz val="11"/>
      <name val="Cambria"/>
      <family val="1"/>
      <scheme val="major"/>
    </font>
    <font>
      <b/>
      <sz val="13"/>
      <color theme="1"/>
      <name val="Cambria"/>
      <family val="1"/>
      <scheme val="major"/>
    </font>
    <font>
      <sz val="13"/>
      <color theme="1"/>
      <name val="Cambria"/>
      <family val="1"/>
      <scheme val="major"/>
    </font>
    <font>
      <b/>
      <sz val="9"/>
      <color rgb="FF000000"/>
      <name val="Tahoma"/>
      <family val="2"/>
    </font>
    <font>
      <sz val="9"/>
      <color rgb="FF000000"/>
      <name val="Tahoma"/>
      <family val="2"/>
    </font>
    <font>
      <sz val="11"/>
      <name val="Calibri"/>
      <family val="2"/>
      <charset val="163"/>
      <scheme val="minor"/>
    </font>
    <font>
      <sz val="11"/>
      <name val="Calibri"/>
      <family val="2"/>
    </font>
  </fonts>
  <fills count="27">
    <fill>
      <patternFill patternType="none"/>
    </fill>
    <fill>
      <patternFill patternType="gray125"/>
    </fill>
    <fill>
      <patternFill patternType="solid">
        <fgColor rgb="FFFFFF00"/>
        <bgColor indexed="64"/>
      </patternFill>
    </fill>
    <fill>
      <patternFill patternType="solid">
        <fgColor indexed="22"/>
        <bgColor indexed="64"/>
      </patternFill>
    </fill>
    <fill>
      <patternFill patternType="solid">
        <fgColor indexed="13"/>
        <bgColor indexed="64"/>
      </patternFill>
    </fill>
    <fill>
      <patternFill patternType="solid">
        <fgColor indexed="65"/>
        <bgColor indexed="64"/>
      </patternFill>
    </fill>
    <fill>
      <patternFill patternType="solid">
        <fgColor indexed="40"/>
        <bgColor indexed="64"/>
      </patternFill>
    </fill>
    <fill>
      <patternFill patternType="solid">
        <fgColor indexed="26"/>
        <bgColor indexed="64"/>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s>
  <borders count="3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right/>
      <top style="double">
        <color indexed="64"/>
      </top>
      <bottom/>
      <diagonal/>
    </border>
    <border>
      <left/>
      <right style="double">
        <color indexed="64"/>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8"/>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8"/>
      </right>
      <top/>
      <bottom/>
      <diagonal/>
    </border>
    <border>
      <left/>
      <right style="medium">
        <color indexed="0"/>
      </right>
      <top/>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style="medium">
        <color indexed="9"/>
      </left>
      <right style="medium">
        <color indexed="9"/>
      </right>
      <top style="medium">
        <color indexed="9"/>
      </top>
      <bottom style="medium">
        <color indexed="9"/>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2385">
    <xf numFmtId="0" fontId="0" fillId="0" borderId="0"/>
    <xf numFmtId="170" fontId="5" fillId="0" borderId="0" applyFont="0" applyFill="0" applyBorder="0" applyAlignment="0" applyProtection="0"/>
    <xf numFmtId="0" fontId="6" fillId="0" borderId="0"/>
    <xf numFmtId="0" fontId="10" fillId="0" borderId="0"/>
    <xf numFmtId="0" fontId="12" fillId="0" borderId="0"/>
    <xf numFmtId="0" fontId="13" fillId="0" borderId="0"/>
    <xf numFmtId="0" fontId="6" fillId="0" borderId="0"/>
    <xf numFmtId="170" fontId="12" fillId="0" borderId="0" applyFont="0" applyFill="0" applyBorder="0" applyAlignment="0" applyProtection="0"/>
    <xf numFmtId="0" fontId="12" fillId="0" borderId="0"/>
    <xf numFmtId="170" fontId="6" fillId="0" borderId="0" applyFont="0" applyFill="0" applyBorder="0" applyAlignment="0" applyProtection="0"/>
    <xf numFmtId="0" fontId="12" fillId="0" borderId="0"/>
    <xf numFmtId="0" fontId="12" fillId="0" borderId="0"/>
    <xf numFmtId="0" fontId="12" fillId="0" borderId="0"/>
    <xf numFmtId="0" fontId="12" fillId="0" borderId="0"/>
    <xf numFmtId="170" fontId="12" fillId="0" borderId="0" applyFont="0" applyFill="0" applyBorder="0" applyAlignment="0" applyProtection="0"/>
    <xf numFmtId="170" fontId="7" fillId="0" borderId="0" applyFont="0" applyFill="0" applyBorder="0" applyAlignment="0" applyProtection="0"/>
    <xf numFmtId="0" fontId="12" fillId="0" borderId="0"/>
    <xf numFmtId="0" fontId="12" fillId="0" borderId="0"/>
    <xf numFmtId="0" fontId="12" fillId="0" borderId="0"/>
    <xf numFmtId="170" fontId="6" fillId="0" borderId="0" applyFont="0" applyFill="0" applyBorder="0" applyAlignment="0" applyProtection="0"/>
    <xf numFmtId="0" fontId="5" fillId="0" borderId="0"/>
    <xf numFmtId="0" fontId="12" fillId="0" borderId="0"/>
    <xf numFmtId="0" fontId="12" fillId="0" borderId="0"/>
    <xf numFmtId="0" fontId="12" fillId="0" borderId="0"/>
    <xf numFmtId="170" fontId="12" fillId="0" borderId="0" applyFont="0" applyFill="0" applyBorder="0" applyAlignment="0" applyProtection="0"/>
    <xf numFmtId="0" fontId="5" fillId="0" borderId="0"/>
    <xf numFmtId="177" fontId="6" fillId="0" borderId="0" applyFont="0" applyFill="0" applyBorder="0" applyAlignment="0" applyProtection="0"/>
    <xf numFmtId="0" fontId="7" fillId="0" borderId="0"/>
    <xf numFmtId="0" fontId="12" fillId="0" borderId="0"/>
    <xf numFmtId="0" fontId="12" fillId="0" borderId="0"/>
    <xf numFmtId="0" fontId="12" fillId="0" borderId="0"/>
    <xf numFmtId="179" fontId="12" fillId="0" borderId="0" applyFont="0" applyFill="0" applyBorder="0" applyAlignment="0" applyProtection="0"/>
    <xf numFmtId="0" fontId="6" fillId="0" borderId="0"/>
    <xf numFmtId="0" fontId="12" fillId="0" borderId="0"/>
    <xf numFmtId="170" fontId="12" fillId="0" borderId="0" applyFont="0" applyFill="0" applyBorder="0" applyAlignment="0" applyProtection="0"/>
    <xf numFmtId="0" fontId="6" fillId="0" borderId="0"/>
    <xf numFmtId="3" fontId="7" fillId="0" borderId="0">
      <alignment vertical="center" wrapText="1"/>
    </xf>
    <xf numFmtId="0" fontId="22" fillId="0" borderId="0"/>
    <xf numFmtId="0" fontId="6" fillId="0" borderId="0"/>
    <xf numFmtId="181" fontId="37" fillId="0" borderId="0" applyFont="0" applyFill="0" applyBorder="0" applyAlignment="0" applyProtection="0"/>
    <xf numFmtId="0" fontId="13" fillId="0" borderId="0" applyNumberFormat="0" applyFill="0" applyBorder="0" applyAlignment="0" applyProtection="0"/>
    <xf numFmtId="0" fontId="38" fillId="0" borderId="0"/>
    <xf numFmtId="3" fontId="39" fillId="0" borderId="2"/>
    <xf numFmtId="3" fontId="39" fillId="0" borderId="2"/>
    <xf numFmtId="175" fontId="40" fillId="0" borderId="7" applyFont="0" applyBorder="0"/>
    <xf numFmtId="175" fontId="41" fillId="0" borderId="0" applyProtection="0"/>
    <xf numFmtId="0" fontId="42" fillId="0" borderId="0"/>
    <xf numFmtId="182" fontId="43" fillId="0" borderId="0" applyFont="0" applyFill="0" applyBorder="0" applyAlignment="0" applyProtection="0"/>
    <xf numFmtId="0" fontId="44" fillId="0" borderId="0" applyFont="0" applyFill="0" applyBorder="0" applyAlignment="0" applyProtection="0"/>
    <xf numFmtId="183" fontId="6" fillId="0" borderId="0" applyFont="0" applyFill="0" applyBorder="0" applyAlignment="0" applyProtection="0"/>
    <xf numFmtId="0" fontId="6" fillId="0" borderId="0" applyNumberFormat="0" applyFill="0" applyBorder="0" applyAlignment="0" applyProtection="0"/>
    <xf numFmtId="0" fontId="45" fillId="0" borderId="0" applyFont="0" applyFill="0" applyBorder="0" applyAlignment="0" applyProtection="0"/>
    <xf numFmtId="0" fontId="46" fillId="0" borderId="8"/>
    <xf numFmtId="184" fontId="42" fillId="0" borderId="0" applyFont="0" applyFill="0" applyBorder="0" applyAlignment="0" applyProtection="0"/>
    <xf numFmtId="167" fontId="47" fillId="0" borderId="0" applyFont="0" applyFill="0" applyBorder="0" applyAlignment="0" applyProtection="0"/>
    <xf numFmtId="168" fontId="47" fillId="0" borderId="0" applyFont="0" applyFill="0" applyBorder="0" applyAlignment="0" applyProtection="0"/>
    <xf numFmtId="185" fontId="48" fillId="0" borderId="0" applyFont="0" applyFill="0" applyBorder="0" applyAlignment="0" applyProtection="0"/>
    <xf numFmtId="0" fontId="49"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Protection="0"/>
    <xf numFmtId="0" fontId="50" fillId="0" borderId="0"/>
    <xf numFmtId="0" fontId="6" fillId="0" borderId="0" applyNumberFormat="0" applyFill="0" applyBorder="0" applyAlignment="0" applyProtection="0"/>
    <xf numFmtId="0" fontId="6" fillId="0" borderId="0" applyProtection="0"/>
    <xf numFmtId="0" fontId="51" fillId="0" borderId="0" applyNumberFormat="0" applyFill="0" applyBorder="0" applyProtection="0">
      <alignment vertical="center"/>
    </xf>
    <xf numFmtId="167" fontId="13" fillId="0" borderId="0" applyFont="0" applyFill="0" applyBorder="0" applyAlignment="0" applyProtection="0"/>
    <xf numFmtId="186" fontId="37" fillId="0" borderId="0" applyFont="0" applyFill="0" applyBorder="0" applyAlignment="0" applyProtection="0"/>
    <xf numFmtId="173" fontId="43" fillId="0" borderId="0" applyFon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87" fontId="13" fillId="0" borderId="0" applyFont="0" applyFill="0" applyBorder="0" applyAlignment="0" applyProtection="0"/>
    <xf numFmtId="173" fontId="43" fillId="0" borderId="0" applyFont="0" applyFill="0" applyBorder="0" applyAlignment="0" applyProtection="0"/>
    <xf numFmtId="188" fontId="43" fillId="0" borderId="0" applyFont="0" applyFill="0" applyBorder="0" applyAlignment="0" applyProtection="0"/>
    <xf numFmtId="173" fontId="43" fillId="0" borderId="0" applyFont="0" applyFill="0" applyBorder="0" applyAlignment="0" applyProtection="0"/>
    <xf numFmtId="0" fontId="52" fillId="0" borderId="0"/>
    <xf numFmtId="173" fontId="43" fillId="0" borderId="0" applyFont="0" applyFill="0" applyBorder="0" applyAlignment="0" applyProtection="0"/>
    <xf numFmtId="188" fontId="43" fillId="0" borderId="0" applyFont="0" applyFill="0" applyBorder="0" applyAlignment="0" applyProtection="0"/>
    <xf numFmtId="0" fontId="52" fillId="0" borderId="0"/>
    <xf numFmtId="173" fontId="43" fillId="0" borderId="0" applyFont="0" applyFill="0" applyBorder="0" applyAlignment="0" applyProtection="0"/>
    <xf numFmtId="0" fontId="53" fillId="0" borderId="0">
      <alignment vertical="top"/>
    </xf>
    <xf numFmtId="0" fontId="54" fillId="0" borderId="0">
      <alignment vertical="top"/>
    </xf>
    <xf numFmtId="0" fontId="54" fillId="0" borderId="0">
      <alignment vertical="top"/>
    </xf>
    <xf numFmtId="0" fontId="42" fillId="0" borderId="0" applyNumberFormat="0" applyFill="0" applyBorder="0" applyAlignment="0" applyProtection="0"/>
    <xf numFmtId="0" fontId="42" fillId="0" borderId="0" applyNumberFormat="0" applyFill="0" applyBorder="0" applyAlignment="0" applyProtection="0"/>
    <xf numFmtId="173" fontId="43" fillId="0" borderId="0" applyFont="0" applyFill="0" applyBorder="0" applyAlignment="0" applyProtection="0"/>
    <xf numFmtId="189" fontId="43" fillId="0" borderId="0" applyFon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73" fontId="43" fillId="0" borderId="0" applyFont="0" applyFill="0" applyBorder="0" applyAlignment="0" applyProtection="0"/>
    <xf numFmtId="0" fontId="52" fillId="0" borderId="0"/>
    <xf numFmtId="188" fontId="43" fillId="0" borderId="0" applyFont="0" applyFill="0" applyBorder="0" applyAlignment="0" applyProtection="0"/>
    <xf numFmtId="0" fontId="52" fillId="0" borderId="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52" fillId="0" borderId="0"/>
    <xf numFmtId="173" fontId="43" fillId="0" borderId="0" applyFont="0" applyFill="0" applyBorder="0" applyAlignment="0" applyProtection="0"/>
    <xf numFmtId="173" fontId="43" fillId="0" borderId="0" applyFont="0" applyFill="0" applyBorder="0" applyAlignment="0" applyProtection="0"/>
    <xf numFmtId="173" fontId="43" fillId="0" borderId="0" applyFont="0" applyFill="0" applyBorder="0" applyAlignment="0" applyProtection="0"/>
    <xf numFmtId="0" fontId="52" fillId="0" borderId="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52" fillId="0" borderId="0"/>
    <xf numFmtId="0" fontId="52" fillId="0" borderId="0"/>
    <xf numFmtId="0" fontId="52" fillId="0" borderId="0"/>
    <xf numFmtId="189" fontId="43"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73" fontId="43" fillId="0" borderId="0" applyFont="0" applyFill="0" applyBorder="0" applyAlignment="0" applyProtection="0"/>
    <xf numFmtId="189" fontId="43" fillId="0" borderId="0" applyFont="0" applyFill="0" applyBorder="0" applyAlignment="0" applyProtection="0"/>
    <xf numFmtId="173" fontId="43" fillId="0" borderId="0" applyFont="0" applyFill="0" applyBorder="0" applyAlignment="0" applyProtection="0"/>
    <xf numFmtId="0" fontId="52" fillId="0" borderId="0"/>
    <xf numFmtId="188" fontId="43" fillId="0" borderId="0" applyFont="0" applyFill="0" applyBorder="0" applyAlignment="0" applyProtection="0"/>
    <xf numFmtId="0" fontId="52" fillId="0" borderId="0"/>
    <xf numFmtId="186" fontId="37" fillId="0" borderId="0" applyFont="0" applyFill="0" applyBorder="0" applyAlignment="0" applyProtection="0"/>
    <xf numFmtId="173" fontId="43" fillId="0" borderId="0" applyFont="0" applyFill="0" applyBorder="0" applyAlignment="0" applyProtection="0"/>
    <xf numFmtId="186" fontId="37" fillId="0" borderId="0" applyFont="0" applyFill="0" applyBorder="0" applyAlignment="0" applyProtection="0"/>
    <xf numFmtId="186" fontId="37" fillId="0" borderId="0" applyFont="0" applyFill="0" applyBorder="0" applyAlignment="0" applyProtection="0"/>
    <xf numFmtId="181" fontId="37" fillId="0" borderId="0" applyFont="0" applyFill="0" applyBorder="0" applyAlignment="0" applyProtection="0"/>
    <xf numFmtId="168" fontId="37" fillId="0" borderId="0" applyFont="0" applyFill="0" applyBorder="0" applyAlignment="0" applyProtection="0"/>
    <xf numFmtId="190" fontId="43" fillId="0" borderId="0" applyFont="0" applyFill="0" applyBorder="0" applyAlignment="0" applyProtection="0"/>
    <xf numFmtId="168"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91" fontId="43" fillId="0" borderId="0" applyFont="0" applyFill="0" applyBorder="0" applyAlignment="0" applyProtection="0"/>
    <xf numFmtId="170" fontId="43" fillId="0" borderId="0" applyFont="0" applyFill="0" applyBorder="0" applyAlignment="0" applyProtection="0"/>
    <xf numFmtId="168" fontId="43" fillId="0" borderId="0" applyFont="0" applyFill="0" applyBorder="0" applyAlignment="0" applyProtection="0"/>
    <xf numFmtId="168" fontId="43" fillId="0" borderId="0" applyFont="0" applyFill="0" applyBorder="0" applyAlignment="0" applyProtection="0"/>
    <xf numFmtId="168" fontId="43" fillId="0" borderId="0" applyFont="0" applyFill="0" applyBorder="0" applyAlignment="0" applyProtection="0"/>
    <xf numFmtId="170" fontId="43" fillId="0" borderId="0" applyFont="0" applyFill="0" applyBorder="0" applyAlignment="0" applyProtection="0"/>
    <xf numFmtId="190" fontId="43" fillId="0" borderId="0" applyFont="0" applyFill="0" applyBorder="0" applyAlignment="0" applyProtection="0"/>
    <xf numFmtId="192"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68" fontId="43" fillId="0" borderId="0" applyFont="0" applyFill="0" applyBorder="0" applyAlignment="0" applyProtection="0"/>
    <xf numFmtId="170"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68" fontId="43" fillId="0" borderId="0" applyFont="0" applyFill="0" applyBorder="0" applyAlignment="0" applyProtection="0"/>
    <xf numFmtId="43" fontId="43" fillId="0" borderId="0" applyFont="0" applyFill="0" applyBorder="0" applyAlignment="0" applyProtection="0"/>
    <xf numFmtId="190" fontId="43" fillId="0" borderId="0" applyFont="0" applyFill="0" applyBorder="0" applyAlignment="0" applyProtection="0"/>
    <xf numFmtId="168" fontId="43" fillId="0" borderId="0" applyFont="0" applyFill="0" applyBorder="0" applyAlignment="0" applyProtection="0"/>
    <xf numFmtId="168" fontId="43" fillId="0" borderId="0" applyFont="0" applyFill="0" applyBorder="0" applyAlignment="0" applyProtection="0"/>
    <xf numFmtId="168" fontId="43" fillId="0" borderId="0" applyFont="0" applyFill="0" applyBorder="0" applyAlignment="0" applyProtection="0"/>
    <xf numFmtId="191" fontId="43" fillId="0" borderId="0" applyFont="0" applyFill="0" applyBorder="0" applyAlignment="0" applyProtection="0"/>
    <xf numFmtId="190" fontId="43" fillId="0" borderId="0" applyFont="0" applyFill="0" applyBorder="0" applyAlignment="0" applyProtection="0"/>
    <xf numFmtId="190" fontId="43" fillId="0" borderId="0" applyFont="0" applyFill="0" applyBorder="0" applyAlignment="0" applyProtection="0"/>
    <xf numFmtId="192" fontId="43" fillId="0" borderId="0" applyFont="0" applyFill="0" applyBorder="0" applyAlignment="0" applyProtection="0"/>
    <xf numFmtId="190" fontId="43" fillId="0" borderId="0" applyFont="0" applyFill="0" applyBorder="0" applyAlignment="0" applyProtection="0"/>
    <xf numFmtId="190" fontId="43" fillId="0" borderId="0" applyFont="0" applyFill="0" applyBorder="0" applyAlignment="0" applyProtection="0"/>
    <xf numFmtId="190" fontId="43" fillId="0" borderId="0" applyFont="0" applyFill="0" applyBorder="0" applyAlignment="0" applyProtection="0"/>
    <xf numFmtId="190" fontId="43" fillId="0" borderId="0" applyFont="0" applyFill="0" applyBorder="0" applyAlignment="0" applyProtection="0"/>
    <xf numFmtId="190" fontId="43" fillId="0" borderId="0" applyFont="0" applyFill="0" applyBorder="0" applyAlignment="0" applyProtection="0"/>
    <xf numFmtId="190" fontId="43" fillId="0" borderId="0" applyFont="0" applyFill="0" applyBorder="0" applyAlignment="0" applyProtection="0"/>
    <xf numFmtId="190" fontId="43" fillId="0" borderId="0" applyFont="0" applyFill="0" applyBorder="0" applyAlignment="0" applyProtection="0"/>
    <xf numFmtId="190" fontId="43" fillId="0" borderId="0" applyFont="0" applyFill="0" applyBorder="0" applyAlignment="0" applyProtection="0"/>
    <xf numFmtId="43" fontId="43" fillId="0" borderId="0" applyFont="0" applyFill="0" applyBorder="0" applyAlignment="0" applyProtection="0"/>
    <xf numFmtId="170" fontId="43" fillId="0" borderId="0" applyFont="0" applyFill="0" applyBorder="0" applyAlignment="0" applyProtection="0"/>
    <xf numFmtId="168" fontId="43" fillId="0" borderId="0" applyFont="0" applyFill="0" applyBorder="0" applyAlignment="0" applyProtection="0"/>
    <xf numFmtId="168" fontId="43" fillId="0" borderId="0" applyFont="0" applyFill="0" applyBorder="0" applyAlignment="0" applyProtection="0"/>
    <xf numFmtId="170" fontId="43" fillId="0" borderId="0" applyFont="0" applyFill="0" applyBorder="0" applyAlignment="0" applyProtection="0"/>
    <xf numFmtId="190" fontId="43" fillId="0" borderId="0" applyFont="0" applyFill="0" applyBorder="0" applyAlignment="0" applyProtection="0"/>
    <xf numFmtId="168"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68" fontId="43" fillId="0" borderId="0" applyFont="0" applyFill="0" applyBorder="0" applyAlignment="0" applyProtection="0"/>
    <xf numFmtId="192" fontId="43" fillId="0" borderId="0" applyFont="0" applyFill="0" applyBorder="0" applyAlignment="0" applyProtection="0"/>
    <xf numFmtId="43" fontId="43" fillId="0" borderId="0" applyFont="0" applyFill="0" applyBorder="0" applyAlignment="0" applyProtection="0"/>
    <xf numFmtId="192" fontId="43" fillId="0" borderId="0" applyFont="0" applyFill="0" applyBorder="0" applyAlignment="0" applyProtection="0"/>
    <xf numFmtId="190" fontId="43" fillId="0" borderId="0" applyFont="0" applyFill="0" applyBorder="0" applyAlignment="0" applyProtection="0"/>
    <xf numFmtId="191" fontId="43" fillId="0" borderId="0" applyFont="0" applyFill="0" applyBorder="0" applyAlignment="0" applyProtection="0"/>
    <xf numFmtId="190" fontId="43" fillId="0" borderId="0" applyFont="0" applyFill="0" applyBorder="0" applyAlignment="0" applyProtection="0"/>
    <xf numFmtId="170" fontId="43" fillId="0" borderId="0" applyFont="0" applyFill="0" applyBorder="0" applyAlignment="0" applyProtection="0"/>
    <xf numFmtId="168" fontId="43" fillId="0" borderId="0" applyFont="0" applyFill="0" applyBorder="0" applyAlignment="0" applyProtection="0"/>
    <xf numFmtId="192" fontId="43" fillId="0" borderId="0" applyFont="0" applyFill="0" applyBorder="0" applyAlignment="0" applyProtection="0"/>
    <xf numFmtId="170" fontId="43" fillId="0" borderId="0" applyFont="0" applyFill="0" applyBorder="0" applyAlignment="0" applyProtection="0"/>
    <xf numFmtId="193" fontId="43" fillId="0" borderId="0" applyFont="0" applyFill="0" applyBorder="0" applyAlignment="0" applyProtection="0"/>
    <xf numFmtId="194" fontId="43" fillId="0" borderId="0" applyFont="0" applyFill="0" applyBorder="0" applyAlignment="0" applyProtection="0"/>
    <xf numFmtId="192"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91" fontId="43" fillId="0" borderId="0" applyFont="0" applyFill="0" applyBorder="0" applyAlignment="0" applyProtection="0"/>
    <xf numFmtId="190" fontId="43" fillId="0" borderId="0" applyFont="0" applyFill="0" applyBorder="0" applyAlignment="0" applyProtection="0"/>
    <xf numFmtId="167" fontId="37" fillId="0" borderId="0" applyFont="0" applyFill="0" applyBorder="0" applyAlignment="0" applyProtection="0"/>
    <xf numFmtId="173" fontId="43" fillId="0" borderId="0" applyFont="0" applyFill="0" applyBorder="0" applyAlignment="0" applyProtection="0"/>
    <xf numFmtId="188" fontId="43" fillId="0" borderId="0" applyFont="0" applyFill="0" applyBorder="0" applyAlignment="0" applyProtection="0"/>
    <xf numFmtId="173" fontId="43" fillId="0" borderId="0" applyFont="0" applyFill="0" applyBorder="0" applyAlignment="0" applyProtection="0"/>
    <xf numFmtId="173" fontId="43" fillId="0" borderId="0" applyFont="0" applyFill="0" applyBorder="0" applyAlignment="0" applyProtection="0"/>
    <xf numFmtId="189" fontId="43" fillId="0" borderId="0" applyFont="0" applyFill="0" applyBorder="0" applyAlignment="0" applyProtection="0"/>
    <xf numFmtId="173" fontId="43" fillId="0" borderId="0" applyFont="0" applyFill="0" applyBorder="0" applyAlignment="0" applyProtection="0"/>
    <xf numFmtId="173" fontId="43" fillId="0" borderId="0" applyFont="0" applyFill="0" applyBorder="0" applyAlignment="0" applyProtection="0"/>
    <xf numFmtId="189" fontId="43" fillId="0" borderId="0" applyFont="0" applyFill="0" applyBorder="0" applyAlignment="0" applyProtection="0"/>
    <xf numFmtId="188" fontId="43" fillId="0" borderId="0" applyFont="0" applyFill="0" applyBorder="0" applyAlignment="0" applyProtection="0"/>
    <xf numFmtId="189" fontId="43" fillId="0" borderId="0" applyFont="0" applyFill="0" applyBorder="0" applyAlignment="0" applyProtection="0"/>
    <xf numFmtId="173" fontId="43" fillId="0" borderId="0" applyFont="0" applyFill="0" applyBorder="0" applyAlignment="0" applyProtection="0"/>
    <xf numFmtId="173" fontId="43" fillId="0" borderId="0" applyFont="0" applyFill="0" applyBorder="0" applyAlignment="0" applyProtection="0"/>
    <xf numFmtId="173" fontId="43" fillId="0" borderId="0" applyFont="0" applyFill="0" applyBorder="0" applyAlignment="0" applyProtection="0"/>
    <xf numFmtId="173" fontId="43" fillId="0" borderId="0" applyFont="0" applyFill="0" applyBorder="0" applyAlignment="0" applyProtection="0"/>
    <xf numFmtId="173" fontId="43" fillId="0" borderId="0" applyFont="0" applyFill="0" applyBorder="0" applyAlignment="0" applyProtection="0"/>
    <xf numFmtId="189" fontId="43" fillId="0" borderId="0" applyFont="0" applyFill="0" applyBorder="0" applyAlignment="0" applyProtection="0"/>
    <xf numFmtId="173" fontId="43" fillId="0" borderId="0" applyFont="0" applyFill="0" applyBorder="0" applyAlignment="0" applyProtection="0"/>
    <xf numFmtId="189" fontId="43" fillId="0" borderId="0" applyFont="0" applyFill="0" applyBorder="0" applyAlignment="0" applyProtection="0"/>
    <xf numFmtId="173" fontId="43" fillId="0" borderId="0" applyFont="0" applyFill="0" applyBorder="0" applyAlignment="0" applyProtection="0"/>
    <xf numFmtId="188" fontId="43" fillId="0" borderId="0" applyFont="0" applyFill="0" applyBorder="0" applyAlignment="0" applyProtection="0"/>
    <xf numFmtId="173" fontId="43" fillId="0" borderId="0" applyFont="0" applyFill="0" applyBorder="0" applyAlignment="0" applyProtection="0"/>
    <xf numFmtId="189" fontId="43" fillId="0" borderId="0" applyFont="0" applyFill="0" applyBorder="0" applyAlignment="0" applyProtection="0"/>
    <xf numFmtId="182" fontId="43" fillId="0" borderId="0" applyFont="0" applyFill="0" applyBorder="0" applyAlignment="0" applyProtection="0"/>
    <xf numFmtId="195" fontId="43" fillId="0" borderId="0" applyFont="0" applyFill="0" applyBorder="0" applyAlignment="0" applyProtection="0"/>
    <xf numFmtId="195" fontId="43" fillId="0" borderId="0" applyFont="0" applyFill="0" applyBorder="0" applyAlignment="0" applyProtection="0"/>
    <xf numFmtId="195" fontId="43" fillId="0" borderId="0" applyFont="0" applyFill="0" applyBorder="0" applyAlignment="0" applyProtection="0"/>
    <xf numFmtId="195" fontId="43" fillId="0" borderId="0" applyFont="0" applyFill="0" applyBorder="0" applyAlignment="0" applyProtection="0"/>
    <xf numFmtId="182" fontId="37" fillId="0" borderId="0" applyFont="0" applyFill="0" applyBorder="0" applyAlignment="0" applyProtection="0"/>
    <xf numFmtId="195" fontId="43" fillId="0" borderId="0" applyFont="0" applyFill="0" applyBorder="0" applyAlignment="0" applyProtection="0"/>
    <xf numFmtId="182" fontId="43" fillId="0" borderId="0" applyFont="0" applyFill="0" applyBorder="0" applyAlignment="0" applyProtection="0"/>
    <xf numFmtId="196" fontId="43" fillId="0" borderId="0" applyFont="0" applyFill="0" applyBorder="0" applyAlignment="0" applyProtection="0"/>
    <xf numFmtId="189" fontId="43" fillId="0" borderId="0" applyFont="0" applyFill="0" applyBorder="0" applyAlignment="0" applyProtection="0"/>
    <xf numFmtId="173" fontId="43" fillId="0" borderId="0" applyFont="0" applyFill="0" applyBorder="0" applyAlignment="0" applyProtection="0"/>
    <xf numFmtId="188" fontId="43" fillId="0" borderId="0" applyFont="0" applyFill="0" applyBorder="0" applyAlignment="0" applyProtection="0"/>
    <xf numFmtId="173" fontId="43" fillId="0" borderId="0" applyFont="0" applyFill="0" applyBorder="0" applyAlignment="0" applyProtection="0"/>
    <xf numFmtId="190" fontId="43" fillId="0" borderId="0" applyFont="0" applyFill="0" applyBorder="0" applyAlignment="0" applyProtection="0"/>
    <xf numFmtId="168"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91" fontId="43" fillId="0" borderId="0" applyFont="0" applyFill="0" applyBorder="0" applyAlignment="0" applyProtection="0"/>
    <xf numFmtId="170" fontId="43" fillId="0" borderId="0" applyFont="0" applyFill="0" applyBorder="0" applyAlignment="0" applyProtection="0"/>
    <xf numFmtId="168" fontId="43" fillId="0" borderId="0" applyFont="0" applyFill="0" applyBorder="0" applyAlignment="0" applyProtection="0"/>
    <xf numFmtId="168" fontId="43" fillId="0" borderId="0" applyFont="0" applyFill="0" applyBorder="0" applyAlignment="0" applyProtection="0"/>
    <xf numFmtId="168" fontId="43" fillId="0" borderId="0" applyFont="0" applyFill="0" applyBorder="0" applyAlignment="0" applyProtection="0"/>
    <xf numFmtId="170" fontId="43" fillId="0" borderId="0" applyFont="0" applyFill="0" applyBorder="0" applyAlignment="0" applyProtection="0"/>
    <xf numFmtId="190" fontId="43" fillId="0" borderId="0" applyFont="0" applyFill="0" applyBorder="0" applyAlignment="0" applyProtection="0"/>
    <xf numFmtId="192"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68" fontId="43" fillId="0" borderId="0" applyFont="0" applyFill="0" applyBorder="0" applyAlignment="0" applyProtection="0"/>
    <xf numFmtId="170"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68" fontId="43" fillId="0" borderId="0" applyFont="0" applyFill="0" applyBorder="0" applyAlignment="0" applyProtection="0"/>
    <xf numFmtId="43" fontId="43" fillId="0" borderId="0" applyFont="0" applyFill="0" applyBorder="0" applyAlignment="0" applyProtection="0"/>
    <xf numFmtId="190" fontId="43" fillId="0" borderId="0" applyFont="0" applyFill="0" applyBorder="0" applyAlignment="0" applyProtection="0"/>
    <xf numFmtId="168" fontId="43" fillId="0" borderId="0" applyFont="0" applyFill="0" applyBorder="0" applyAlignment="0" applyProtection="0"/>
    <xf numFmtId="168" fontId="43" fillId="0" borderId="0" applyFont="0" applyFill="0" applyBorder="0" applyAlignment="0" applyProtection="0"/>
    <xf numFmtId="168" fontId="43" fillId="0" borderId="0" applyFont="0" applyFill="0" applyBorder="0" applyAlignment="0" applyProtection="0"/>
    <xf numFmtId="191" fontId="43" fillId="0" borderId="0" applyFont="0" applyFill="0" applyBorder="0" applyAlignment="0" applyProtection="0"/>
    <xf numFmtId="190" fontId="43" fillId="0" borderId="0" applyFont="0" applyFill="0" applyBorder="0" applyAlignment="0" applyProtection="0"/>
    <xf numFmtId="190" fontId="43" fillId="0" borderId="0" applyFont="0" applyFill="0" applyBorder="0" applyAlignment="0" applyProtection="0"/>
    <xf numFmtId="192" fontId="43" fillId="0" borderId="0" applyFont="0" applyFill="0" applyBorder="0" applyAlignment="0" applyProtection="0"/>
    <xf numFmtId="190" fontId="43" fillId="0" borderId="0" applyFont="0" applyFill="0" applyBorder="0" applyAlignment="0" applyProtection="0"/>
    <xf numFmtId="190" fontId="43" fillId="0" borderId="0" applyFont="0" applyFill="0" applyBorder="0" applyAlignment="0" applyProtection="0"/>
    <xf numFmtId="190" fontId="43" fillId="0" borderId="0" applyFont="0" applyFill="0" applyBorder="0" applyAlignment="0" applyProtection="0"/>
    <xf numFmtId="190" fontId="43" fillId="0" borderId="0" applyFont="0" applyFill="0" applyBorder="0" applyAlignment="0" applyProtection="0"/>
    <xf numFmtId="190" fontId="43" fillId="0" borderId="0" applyFont="0" applyFill="0" applyBorder="0" applyAlignment="0" applyProtection="0"/>
    <xf numFmtId="190" fontId="43" fillId="0" borderId="0" applyFont="0" applyFill="0" applyBorder="0" applyAlignment="0" applyProtection="0"/>
    <xf numFmtId="190" fontId="43" fillId="0" borderId="0" applyFont="0" applyFill="0" applyBorder="0" applyAlignment="0" applyProtection="0"/>
    <xf numFmtId="190" fontId="43" fillId="0" borderId="0" applyFont="0" applyFill="0" applyBorder="0" applyAlignment="0" applyProtection="0"/>
    <xf numFmtId="43" fontId="43" fillId="0" borderId="0" applyFont="0" applyFill="0" applyBorder="0" applyAlignment="0" applyProtection="0"/>
    <xf numFmtId="170" fontId="43" fillId="0" borderId="0" applyFont="0" applyFill="0" applyBorder="0" applyAlignment="0" applyProtection="0"/>
    <xf numFmtId="168" fontId="43" fillId="0" borderId="0" applyFont="0" applyFill="0" applyBorder="0" applyAlignment="0" applyProtection="0"/>
    <xf numFmtId="168" fontId="43" fillId="0" borderId="0" applyFont="0" applyFill="0" applyBorder="0" applyAlignment="0" applyProtection="0"/>
    <xf numFmtId="170" fontId="43" fillId="0" borderId="0" applyFont="0" applyFill="0" applyBorder="0" applyAlignment="0" applyProtection="0"/>
    <xf numFmtId="190" fontId="43" fillId="0" borderId="0" applyFont="0" applyFill="0" applyBorder="0" applyAlignment="0" applyProtection="0"/>
    <xf numFmtId="168"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68" fontId="43" fillId="0" borderId="0" applyFont="0" applyFill="0" applyBorder="0" applyAlignment="0" applyProtection="0"/>
    <xf numFmtId="192" fontId="43" fillId="0" borderId="0" applyFont="0" applyFill="0" applyBorder="0" applyAlignment="0" applyProtection="0"/>
    <xf numFmtId="43" fontId="43" fillId="0" borderId="0" applyFont="0" applyFill="0" applyBorder="0" applyAlignment="0" applyProtection="0"/>
    <xf numFmtId="192" fontId="43" fillId="0" borderId="0" applyFont="0" applyFill="0" applyBorder="0" applyAlignment="0" applyProtection="0"/>
    <xf numFmtId="190" fontId="43" fillId="0" borderId="0" applyFont="0" applyFill="0" applyBorder="0" applyAlignment="0" applyProtection="0"/>
    <xf numFmtId="191" fontId="43" fillId="0" borderId="0" applyFont="0" applyFill="0" applyBorder="0" applyAlignment="0" applyProtection="0"/>
    <xf numFmtId="190" fontId="43" fillId="0" borderId="0" applyFont="0" applyFill="0" applyBorder="0" applyAlignment="0" applyProtection="0"/>
    <xf numFmtId="170" fontId="43" fillId="0" borderId="0" applyFont="0" applyFill="0" applyBorder="0" applyAlignment="0" applyProtection="0"/>
    <xf numFmtId="168" fontId="43" fillId="0" borderId="0" applyFont="0" applyFill="0" applyBorder="0" applyAlignment="0" applyProtection="0"/>
    <xf numFmtId="192" fontId="43" fillId="0" borderId="0" applyFont="0" applyFill="0" applyBorder="0" applyAlignment="0" applyProtection="0"/>
    <xf numFmtId="170" fontId="43" fillId="0" borderId="0" applyFont="0" applyFill="0" applyBorder="0" applyAlignment="0" applyProtection="0"/>
    <xf numFmtId="193" fontId="43" fillId="0" borderId="0" applyFont="0" applyFill="0" applyBorder="0" applyAlignment="0" applyProtection="0"/>
    <xf numFmtId="194" fontId="43" fillId="0" borderId="0" applyFont="0" applyFill="0" applyBorder="0" applyAlignment="0" applyProtection="0"/>
    <xf numFmtId="168" fontId="37" fillId="0" borderId="0" applyFont="0" applyFill="0" applyBorder="0" applyAlignment="0" applyProtection="0"/>
    <xf numFmtId="192"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91" fontId="43" fillId="0" borderId="0" applyFont="0" applyFill="0" applyBorder="0" applyAlignment="0" applyProtection="0"/>
    <xf numFmtId="190" fontId="43" fillId="0" borderId="0" applyFont="0" applyFill="0" applyBorder="0" applyAlignment="0" applyProtection="0"/>
    <xf numFmtId="187" fontId="43" fillId="0" borderId="0" applyFont="0" applyFill="0" applyBorder="0" applyAlignment="0" applyProtection="0"/>
    <xf numFmtId="167"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197" fontId="43" fillId="0" borderId="0" applyFont="0" applyFill="0" applyBorder="0" applyAlignment="0" applyProtection="0"/>
    <xf numFmtId="169"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9" fontId="43" fillId="0" borderId="0" applyFont="0" applyFill="0" applyBorder="0" applyAlignment="0" applyProtection="0"/>
    <xf numFmtId="187" fontId="43" fillId="0" borderId="0" applyFont="0" applyFill="0" applyBorder="0" applyAlignment="0" applyProtection="0"/>
    <xf numFmtId="198" fontId="43"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7" fontId="43" fillId="0" borderId="0" applyFont="0" applyFill="0" applyBorder="0" applyAlignment="0" applyProtection="0"/>
    <xf numFmtId="169"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167" fontId="43" fillId="0" borderId="0" applyFont="0" applyFill="0" applyBorder="0" applyAlignment="0" applyProtection="0"/>
    <xf numFmtId="41" fontId="43" fillId="0" borderId="0" applyFont="0" applyFill="0" applyBorder="0" applyAlignment="0" applyProtection="0"/>
    <xf numFmtId="18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97" fontId="43" fillId="0" borderId="0" applyFont="0" applyFill="0" applyBorder="0" applyAlignment="0" applyProtection="0"/>
    <xf numFmtId="187" fontId="43" fillId="0" borderId="0" applyFont="0" applyFill="0" applyBorder="0" applyAlignment="0" applyProtection="0"/>
    <xf numFmtId="187" fontId="43" fillId="0" borderId="0" applyFont="0" applyFill="0" applyBorder="0" applyAlignment="0" applyProtection="0"/>
    <xf numFmtId="198" fontId="43" fillId="0" borderId="0" applyFont="0" applyFill="0" applyBorder="0" applyAlignment="0" applyProtection="0"/>
    <xf numFmtId="187" fontId="43" fillId="0" borderId="0" applyFont="0" applyFill="0" applyBorder="0" applyAlignment="0" applyProtection="0"/>
    <xf numFmtId="187" fontId="43" fillId="0" borderId="0" applyFont="0" applyFill="0" applyBorder="0" applyAlignment="0" applyProtection="0"/>
    <xf numFmtId="187" fontId="43" fillId="0" borderId="0" applyFont="0" applyFill="0" applyBorder="0" applyAlignment="0" applyProtection="0"/>
    <xf numFmtId="187" fontId="43" fillId="0" borderId="0" applyFont="0" applyFill="0" applyBorder="0" applyAlignment="0" applyProtection="0"/>
    <xf numFmtId="187" fontId="43" fillId="0" borderId="0" applyFont="0" applyFill="0" applyBorder="0" applyAlignment="0" applyProtection="0"/>
    <xf numFmtId="187" fontId="43" fillId="0" borderId="0" applyFont="0" applyFill="0" applyBorder="0" applyAlignment="0" applyProtection="0"/>
    <xf numFmtId="187" fontId="43" fillId="0" borderId="0" applyFont="0" applyFill="0" applyBorder="0" applyAlignment="0" applyProtection="0"/>
    <xf numFmtId="187" fontId="43" fillId="0" borderId="0" applyFont="0" applyFill="0" applyBorder="0" applyAlignment="0" applyProtection="0"/>
    <xf numFmtId="41" fontId="43" fillId="0" borderId="0" applyFont="0" applyFill="0" applyBorder="0" applyAlignment="0" applyProtection="0"/>
    <xf numFmtId="169"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9" fontId="43" fillId="0" borderId="0" applyFont="0" applyFill="0" applyBorder="0" applyAlignment="0" applyProtection="0"/>
    <xf numFmtId="187" fontId="43" fillId="0" borderId="0" applyFont="0" applyFill="0" applyBorder="0" applyAlignment="0" applyProtection="0"/>
    <xf numFmtId="167" fontId="43"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7" fontId="43" fillId="0" borderId="0" applyFont="0" applyFill="0" applyBorder="0" applyAlignment="0" applyProtection="0"/>
    <xf numFmtId="198" fontId="43" fillId="0" borderId="0" applyFont="0" applyFill="0" applyBorder="0" applyAlignment="0" applyProtection="0"/>
    <xf numFmtId="41" fontId="43" fillId="0" borderId="0" applyFont="0" applyFill="0" applyBorder="0" applyAlignment="0" applyProtection="0"/>
    <xf numFmtId="198" fontId="43" fillId="0" borderId="0" applyFont="0" applyFill="0" applyBorder="0" applyAlignment="0" applyProtection="0"/>
    <xf numFmtId="187" fontId="43" fillId="0" borderId="0" applyFont="0" applyFill="0" applyBorder="0" applyAlignment="0" applyProtection="0"/>
    <xf numFmtId="197" fontId="43" fillId="0" borderId="0" applyFont="0" applyFill="0" applyBorder="0" applyAlignment="0" applyProtection="0"/>
    <xf numFmtId="187" fontId="43" fillId="0" borderId="0" applyFont="0" applyFill="0" applyBorder="0" applyAlignment="0" applyProtection="0"/>
    <xf numFmtId="169" fontId="43" fillId="0" borderId="0" applyFont="0" applyFill="0" applyBorder="0" applyAlignment="0" applyProtection="0"/>
    <xf numFmtId="167" fontId="43" fillId="0" borderId="0" applyFont="0" applyFill="0" applyBorder="0" applyAlignment="0" applyProtection="0"/>
    <xf numFmtId="198" fontId="43" fillId="0" borderId="0" applyFont="0" applyFill="0" applyBorder="0" applyAlignment="0" applyProtection="0"/>
    <xf numFmtId="169" fontId="43" fillId="0" borderId="0" applyFont="0" applyFill="0" applyBorder="0" applyAlignment="0" applyProtection="0"/>
    <xf numFmtId="199" fontId="43" fillId="0" borderId="0" applyFont="0" applyFill="0" applyBorder="0" applyAlignment="0" applyProtection="0"/>
    <xf numFmtId="200" fontId="43" fillId="0" borderId="0" applyFont="0" applyFill="0" applyBorder="0" applyAlignment="0" applyProtection="0"/>
    <xf numFmtId="198" fontId="43"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97" fontId="43" fillId="0" borderId="0" applyFont="0" applyFill="0" applyBorder="0" applyAlignment="0" applyProtection="0"/>
    <xf numFmtId="187" fontId="43" fillId="0" borderId="0" applyFont="0" applyFill="0" applyBorder="0" applyAlignment="0" applyProtection="0"/>
    <xf numFmtId="188" fontId="43" fillId="0" borderId="0" applyFont="0" applyFill="0" applyBorder="0" applyAlignment="0" applyProtection="0"/>
    <xf numFmtId="173" fontId="43" fillId="0" borderId="0" applyFont="0" applyFill="0" applyBorder="0" applyAlignment="0" applyProtection="0"/>
    <xf numFmtId="173" fontId="43" fillId="0" borderId="0" applyFont="0" applyFill="0" applyBorder="0" applyAlignment="0" applyProtection="0"/>
    <xf numFmtId="189" fontId="43" fillId="0" borderId="0" applyFont="0" applyFill="0" applyBorder="0" applyAlignment="0" applyProtection="0"/>
    <xf numFmtId="173" fontId="43" fillId="0" borderId="0" applyFont="0" applyFill="0" applyBorder="0" applyAlignment="0" applyProtection="0"/>
    <xf numFmtId="173" fontId="43" fillId="0" borderId="0" applyFont="0" applyFill="0" applyBorder="0" applyAlignment="0" applyProtection="0"/>
    <xf numFmtId="189" fontId="43" fillId="0" borderId="0" applyFont="0" applyFill="0" applyBorder="0" applyAlignment="0" applyProtection="0"/>
    <xf numFmtId="188" fontId="43" fillId="0" borderId="0" applyFont="0" applyFill="0" applyBorder="0" applyAlignment="0" applyProtection="0"/>
    <xf numFmtId="189" fontId="43" fillId="0" borderId="0" applyFont="0" applyFill="0" applyBorder="0" applyAlignment="0" applyProtection="0"/>
    <xf numFmtId="173" fontId="43" fillId="0" borderId="0" applyFont="0" applyFill="0" applyBorder="0" applyAlignment="0" applyProtection="0"/>
    <xf numFmtId="173" fontId="43" fillId="0" borderId="0" applyFont="0" applyFill="0" applyBorder="0" applyAlignment="0" applyProtection="0"/>
    <xf numFmtId="173" fontId="43" fillId="0" borderId="0" applyFont="0" applyFill="0" applyBorder="0" applyAlignment="0" applyProtection="0"/>
    <xf numFmtId="173" fontId="43" fillId="0" borderId="0" applyFont="0" applyFill="0" applyBorder="0" applyAlignment="0" applyProtection="0"/>
    <xf numFmtId="173" fontId="43" fillId="0" borderId="0" applyFont="0" applyFill="0" applyBorder="0" applyAlignment="0" applyProtection="0"/>
    <xf numFmtId="189" fontId="43" fillId="0" borderId="0" applyFont="0" applyFill="0" applyBorder="0" applyAlignment="0" applyProtection="0"/>
    <xf numFmtId="173" fontId="43" fillId="0" borderId="0" applyFont="0" applyFill="0" applyBorder="0" applyAlignment="0" applyProtection="0"/>
    <xf numFmtId="189" fontId="43" fillId="0" borderId="0" applyFont="0" applyFill="0" applyBorder="0" applyAlignment="0" applyProtection="0"/>
    <xf numFmtId="173" fontId="43" fillId="0" borderId="0" applyFont="0" applyFill="0" applyBorder="0" applyAlignment="0" applyProtection="0"/>
    <xf numFmtId="188" fontId="43" fillId="0" borderId="0" applyFont="0" applyFill="0" applyBorder="0" applyAlignment="0" applyProtection="0"/>
    <xf numFmtId="173" fontId="43" fillId="0" borderId="0" applyFont="0" applyFill="0" applyBorder="0" applyAlignment="0" applyProtection="0"/>
    <xf numFmtId="189" fontId="43" fillId="0" borderId="0" applyFont="0" applyFill="0" applyBorder="0" applyAlignment="0" applyProtection="0"/>
    <xf numFmtId="182" fontId="43" fillId="0" borderId="0" applyFont="0" applyFill="0" applyBorder="0" applyAlignment="0" applyProtection="0"/>
    <xf numFmtId="195" fontId="43" fillId="0" borderId="0" applyFont="0" applyFill="0" applyBorder="0" applyAlignment="0" applyProtection="0"/>
    <xf numFmtId="195" fontId="43" fillId="0" borderId="0" applyFont="0" applyFill="0" applyBorder="0" applyAlignment="0" applyProtection="0"/>
    <xf numFmtId="195" fontId="43" fillId="0" borderId="0" applyFont="0" applyFill="0" applyBorder="0" applyAlignment="0" applyProtection="0"/>
    <xf numFmtId="195" fontId="43" fillId="0" borderId="0" applyFont="0" applyFill="0" applyBorder="0" applyAlignment="0" applyProtection="0"/>
    <xf numFmtId="182" fontId="37" fillId="0" borderId="0" applyFont="0" applyFill="0" applyBorder="0" applyAlignment="0" applyProtection="0"/>
    <xf numFmtId="195" fontId="43" fillId="0" borderId="0" applyFont="0" applyFill="0" applyBorder="0" applyAlignment="0" applyProtection="0"/>
    <xf numFmtId="182" fontId="43" fillId="0" borderId="0" applyFont="0" applyFill="0" applyBorder="0" applyAlignment="0" applyProtection="0"/>
    <xf numFmtId="196" fontId="43" fillId="0" borderId="0" applyFont="0" applyFill="0" applyBorder="0" applyAlignment="0" applyProtection="0"/>
    <xf numFmtId="167" fontId="37" fillId="0" borderId="0" applyFont="0" applyFill="0" applyBorder="0" applyAlignment="0" applyProtection="0"/>
    <xf numFmtId="189" fontId="43" fillId="0" borderId="0" applyFont="0" applyFill="0" applyBorder="0" applyAlignment="0" applyProtection="0"/>
    <xf numFmtId="173" fontId="43" fillId="0" borderId="0" applyFont="0" applyFill="0" applyBorder="0" applyAlignment="0" applyProtection="0"/>
    <xf numFmtId="188" fontId="43" fillId="0" borderId="0" applyFont="0" applyFill="0" applyBorder="0" applyAlignment="0" applyProtection="0"/>
    <xf numFmtId="173" fontId="43" fillId="0" borderId="0" applyFont="0" applyFill="0" applyBorder="0" applyAlignment="0" applyProtection="0"/>
    <xf numFmtId="168" fontId="37" fillId="0" borderId="0" applyFont="0" applyFill="0" applyBorder="0" applyAlignment="0" applyProtection="0"/>
    <xf numFmtId="187" fontId="43" fillId="0" borderId="0" applyFont="0" applyFill="0" applyBorder="0" applyAlignment="0" applyProtection="0"/>
    <xf numFmtId="167"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197" fontId="43" fillId="0" borderId="0" applyFont="0" applyFill="0" applyBorder="0" applyAlignment="0" applyProtection="0"/>
    <xf numFmtId="169"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9" fontId="43" fillId="0" borderId="0" applyFont="0" applyFill="0" applyBorder="0" applyAlignment="0" applyProtection="0"/>
    <xf numFmtId="187" fontId="43" fillId="0" borderId="0" applyFont="0" applyFill="0" applyBorder="0" applyAlignment="0" applyProtection="0"/>
    <xf numFmtId="198" fontId="43"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7" fontId="43" fillId="0" borderId="0" applyFont="0" applyFill="0" applyBorder="0" applyAlignment="0" applyProtection="0"/>
    <xf numFmtId="169"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167" fontId="43" fillId="0" borderId="0" applyFont="0" applyFill="0" applyBorder="0" applyAlignment="0" applyProtection="0"/>
    <xf numFmtId="41" fontId="43" fillId="0" borderId="0" applyFont="0" applyFill="0" applyBorder="0" applyAlignment="0" applyProtection="0"/>
    <xf numFmtId="18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97" fontId="43" fillId="0" borderId="0" applyFont="0" applyFill="0" applyBorder="0" applyAlignment="0" applyProtection="0"/>
    <xf numFmtId="187" fontId="43" fillId="0" borderId="0" applyFont="0" applyFill="0" applyBorder="0" applyAlignment="0" applyProtection="0"/>
    <xf numFmtId="187" fontId="43" fillId="0" borderId="0" applyFont="0" applyFill="0" applyBorder="0" applyAlignment="0" applyProtection="0"/>
    <xf numFmtId="198" fontId="43" fillId="0" borderId="0" applyFont="0" applyFill="0" applyBorder="0" applyAlignment="0" applyProtection="0"/>
    <xf numFmtId="187" fontId="43" fillId="0" borderId="0" applyFont="0" applyFill="0" applyBorder="0" applyAlignment="0" applyProtection="0"/>
    <xf numFmtId="187" fontId="43" fillId="0" borderId="0" applyFont="0" applyFill="0" applyBorder="0" applyAlignment="0" applyProtection="0"/>
    <xf numFmtId="187" fontId="43" fillId="0" borderId="0" applyFont="0" applyFill="0" applyBorder="0" applyAlignment="0" applyProtection="0"/>
    <xf numFmtId="187" fontId="43" fillId="0" borderId="0" applyFont="0" applyFill="0" applyBorder="0" applyAlignment="0" applyProtection="0"/>
    <xf numFmtId="187" fontId="43" fillId="0" borderId="0" applyFont="0" applyFill="0" applyBorder="0" applyAlignment="0" applyProtection="0"/>
    <xf numFmtId="187" fontId="43" fillId="0" borderId="0" applyFont="0" applyFill="0" applyBorder="0" applyAlignment="0" applyProtection="0"/>
    <xf numFmtId="187" fontId="43" fillId="0" borderId="0" applyFont="0" applyFill="0" applyBorder="0" applyAlignment="0" applyProtection="0"/>
    <xf numFmtId="187" fontId="43" fillId="0" borderId="0" applyFont="0" applyFill="0" applyBorder="0" applyAlignment="0" applyProtection="0"/>
    <xf numFmtId="41" fontId="43" fillId="0" borderId="0" applyFont="0" applyFill="0" applyBorder="0" applyAlignment="0" applyProtection="0"/>
    <xf numFmtId="169"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9" fontId="43" fillId="0" borderId="0" applyFont="0" applyFill="0" applyBorder="0" applyAlignment="0" applyProtection="0"/>
    <xf numFmtId="187" fontId="43" fillId="0" borderId="0" applyFont="0" applyFill="0" applyBorder="0" applyAlignment="0" applyProtection="0"/>
    <xf numFmtId="167" fontId="43"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7" fontId="43" fillId="0" borderId="0" applyFont="0" applyFill="0" applyBorder="0" applyAlignment="0" applyProtection="0"/>
    <xf numFmtId="198" fontId="43" fillId="0" borderId="0" applyFont="0" applyFill="0" applyBorder="0" applyAlignment="0" applyProtection="0"/>
    <xf numFmtId="41" fontId="43" fillId="0" borderId="0" applyFont="0" applyFill="0" applyBorder="0" applyAlignment="0" applyProtection="0"/>
    <xf numFmtId="198" fontId="43" fillId="0" borderId="0" applyFont="0" applyFill="0" applyBorder="0" applyAlignment="0" applyProtection="0"/>
    <xf numFmtId="187" fontId="43" fillId="0" borderId="0" applyFont="0" applyFill="0" applyBorder="0" applyAlignment="0" applyProtection="0"/>
    <xf numFmtId="197" fontId="43" fillId="0" borderId="0" applyFont="0" applyFill="0" applyBorder="0" applyAlignment="0" applyProtection="0"/>
    <xf numFmtId="187" fontId="43" fillId="0" borderId="0" applyFont="0" applyFill="0" applyBorder="0" applyAlignment="0" applyProtection="0"/>
    <xf numFmtId="169" fontId="43" fillId="0" borderId="0" applyFont="0" applyFill="0" applyBorder="0" applyAlignment="0" applyProtection="0"/>
    <xf numFmtId="167" fontId="43" fillId="0" borderId="0" applyFont="0" applyFill="0" applyBorder="0" applyAlignment="0" applyProtection="0"/>
    <xf numFmtId="198" fontId="43" fillId="0" borderId="0" applyFont="0" applyFill="0" applyBorder="0" applyAlignment="0" applyProtection="0"/>
    <xf numFmtId="169" fontId="43" fillId="0" borderId="0" applyFont="0" applyFill="0" applyBorder="0" applyAlignment="0" applyProtection="0"/>
    <xf numFmtId="199" fontId="43" fillId="0" borderId="0" applyFont="0" applyFill="0" applyBorder="0" applyAlignment="0" applyProtection="0"/>
    <xf numFmtId="200" fontId="43" fillId="0" borderId="0" applyFont="0" applyFill="0" applyBorder="0" applyAlignment="0" applyProtection="0"/>
    <xf numFmtId="198" fontId="43"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97" fontId="43" fillId="0" borderId="0" applyFont="0" applyFill="0" applyBorder="0" applyAlignment="0" applyProtection="0"/>
    <xf numFmtId="187" fontId="43" fillId="0" borderId="0" applyFont="0" applyFill="0" applyBorder="0" applyAlignment="0" applyProtection="0"/>
    <xf numFmtId="190" fontId="43" fillId="0" borderId="0" applyFont="0" applyFill="0" applyBorder="0" applyAlignment="0" applyProtection="0"/>
    <xf numFmtId="168"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91" fontId="43" fillId="0" borderId="0" applyFont="0" applyFill="0" applyBorder="0" applyAlignment="0" applyProtection="0"/>
    <xf numFmtId="170" fontId="43" fillId="0" borderId="0" applyFont="0" applyFill="0" applyBorder="0" applyAlignment="0" applyProtection="0"/>
    <xf numFmtId="168" fontId="43" fillId="0" borderId="0" applyFont="0" applyFill="0" applyBorder="0" applyAlignment="0" applyProtection="0"/>
    <xf numFmtId="168" fontId="43" fillId="0" borderId="0" applyFont="0" applyFill="0" applyBorder="0" applyAlignment="0" applyProtection="0"/>
    <xf numFmtId="168" fontId="43" fillId="0" borderId="0" applyFont="0" applyFill="0" applyBorder="0" applyAlignment="0" applyProtection="0"/>
    <xf numFmtId="170" fontId="43" fillId="0" borderId="0" applyFont="0" applyFill="0" applyBorder="0" applyAlignment="0" applyProtection="0"/>
    <xf numFmtId="190" fontId="43" fillId="0" borderId="0" applyFont="0" applyFill="0" applyBorder="0" applyAlignment="0" applyProtection="0"/>
    <xf numFmtId="192"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68" fontId="43" fillId="0" borderId="0" applyFont="0" applyFill="0" applyBorder="0" applyAlignment="0" applyProtection="0"/>
    <xf numFmtId="170"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68" fontId="43" fillId="0" borderId="0" applyFont="0" applyFill="0" applyBorder="0" applyAlignment="0" applyProtection="0"/>
    <xf numFmtId="43" fontId="43" fillId="0" borderId="0" applyFont="0" applyFill="0" applyBorder="0" applyAlignment="0" applyProtection="0"/>
    <xf numFmtId="190" fontId="43" fillId="0" borderId="0" applyFont="0" applyFill="0" applyBorder="0" applyAlignment="0" applyProtection="0"/>
    <xf numFmtId="168" fontId="43" fillId="0" borderId="0" applyFont="0" applyFill="0" applyBorder="0" applyAlignment="0" applyProtection="0"/>
    <xf numFmtId="168" fontId="43" fillId="0" borderId="0" applyFont="0" applyFill="0" applyBorder="0" applyAlignment="0" applyProtection="0"/>
    <xf numFmtId="168" fontId="43" fillId="0" borderId="0" applyFont="0" applyFill="0" applyBorder="0" applyAlignment="0" applyProtection="0"/>
    <xf numFmtId="191" fontId="43" fillId="0" borderId="0" applyFont="0" applyFill="0" applyBorder="0" applyAlignment="0" applyProtection="0"/>
    <xf numFmtId="190" fontId="43" fillId="0" borderId="0" applyFont="0" applyFill="0" applyBorder="0" applyAlignment="0" applyProtection="0"/>
    <xf numFmtId="190" fontId="43" fillId="0" borderId="0" applyFont="0" applyFill="0" applyBorder="0" applyAlignment="0" applyProtection="0"/>
    <xf numFmtId="192" fontId="43" fillId="0" borderId="0" applyFont="0" applyFill="0" applyBorder="0" applyAlignment="0" applyProtection="0"/>
    <xf numFmtId="190" fontId="43" fillId="0" borderId="0" applyFont="0" applyFill="0" applyBorder="0" applyAlignment="0" applyProtection="0"/>
    <xf numFmtId="190" fontId="43" fillId="0" borderId="0" applyFont="0" applyFill="0" applyBorder="0" applyAlignment="0" applyProtection="0"/>
    <xf numFmtId="190" fontId="43" fillId="0" borderId="0" applyFont="0" applyFill="0" applyBorder="0" applyAlignment="0" applyProtection="0"/>
    <xf numFmtId="190" fontId="43" fillId="0" borderId="0" applyFont="0" applyFill="0" applyBorder="0" applyAlignment="0" applyProtection="0"/>
    <xf numFmtId="190" fontId="43" fillId="0" borderId="0" applyFont="0" applyFill="0" applyBorder="0" applyAlignment="0" applyProtection="0"/>
    <xf numFmtId="190" fontId="43" fillId="0" borderId="0" applyFont="0" applyFill="0" applyBorder="0" applyAlignment="0" applyProtection="0"/>
    <xf numFmtId="190" fontId="43" fillId="0" borderId="0" applyFont="0" applyFill="0" applyBorder="0" applyAlignment="0" applyProtection="0"/>
    <xf numFmtId="190" fontId="43" fillId="0" borderId="0" applyFont="0" applyFill="0" applyBorder="0" applyAlignment="0" applyProtection="0"/>
    <xf numFmtId="43" fontId="43" fillId="0" borderId="0" applyFont="0" applyFill="0" applyBorder="0" applyAlignment="0" applyProtection="0"/>
    <xf numFmtId="170" fontId="43" fillId="0" borderId="0" applyFont="0" applyFill="0" applyBorder="0" applyAlignment="0" applyProtection="0"/>
    <xf numFmtId="168" fontId="43" fillId="0" borderId="0" applyFont="0" applyFill="0" applyBorder="0" applyAlignment="0" applyProtection="0"/>
    <xf numFmtId="168" fontId="43" fillId="0" borderId="0" applyFont="0" applyFill="0" applyBorder="0" applyAlignment="0" applyProtection="0"/>
    <xf numFmtId="170" fontId="43" fillId="0" borderId="0" applyFont="0" applyFill="0" applyBorder="0" applyAlignment="0" applyProtection="0"/>
    <xf numFmtId="190" fontId="43" fillId="0" borderId="0" applyFont="0" applyFill="0" applyBorder="0" applyAlignment="0" applyProtection="0"/>
    <xf numFmtId="168"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68" fontId="43" fillId="0" borderId="0" applyFont="0" applyFill="0" applyBorder="0" applyAlignment="0" applyProtection="0"/>
    <xf numFmtId="192" fontId="43" fillId="0" borderId="0" applyFont="0" applyFill="0" applyBorder="0" applyAlignment="0" applyProtection="0"/>
    <xf numFmtId="43" fontId="43" fillId="0" borderId="0" applyFont="0" applyFill="0" applyBorder="0" applyAlignment="0" applyProtection="0"/>
    <xf numFmtId="192" fontId="43" fillId="0" borderId="0" applyFont="0" applyFill="0" applyBorder="0" applyAlignment="0" applyProtection="0"/>
    <xf numFmtId="190" fontId="43" fillId="0" borderId="0" applyFont="0" applyFill="0" applyBorder="0" applyAlignment="0" applyProtection="0"/>
    <xf numFmtId="191" fontId="43" fillId="0" borderId="0" applyFont="0" applyFill="0" applyBorder="0" applyAlignment="0" applyProtection="0"/>
    <xf numFmtId="190" fontId="43" fillId="0" borderId="0" applyFont="0" applyFill="0" applyBorder="0" applyAlignment="0" applyProtection="0"/>
    <xf numFmtId="170" fontId="43" fillId="0" borderId="0" applyFont="0" applyFill="0" applyBorder="0" applyAlignment="0" applyProtection="0"/>
    <xf numFmtId="168" fontId="43" fillId="0" borderId="0" applyFont="0" applyFill="0" applyBorder="0" applyAlignment="0" applyProtection="0"/>
    <xf numFmtId="192" fontId="43" fillId="0" borderId="0" applyFont="0" applyFill="0" applyBorder="0" applyAlignment="0" applyProtection="0"/>
    <xf numFmtId="170" fontId="43" fillId="0" borderId="0" applyFont="0" applyFill="0" applyBorder="0" applyAlignment="0" applyProtection="0"/>
    <xf numFmtId="193" fontId="43" fillId="0" borderId="0" applyFont="0" applyFill="0" applyBorder="0" applyAlignment="0" applyProtection="0"/>
    <xf numFmtId="194" fontId="43" fillId="0" borderId="0" applyFont="0" applyFill="0" applyBorder="0" applyAlignment="0" applyProtection="0"/>
    <xf numFmtId="192"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91" fontId="43" fillId="0" borderId="0" applyFont="0" applyFill="0" applyBorder="0" applyAlignment="0" applyProtection="0"/>
    <xf numFmtId="190" fontId="43" fillId="0" borderId="0" applyFont="0" applyFill="0" applyBorder="0" applyAlignment="0" applyProtection="0"/>
    <xf numFmtId="167" fontId="37" fillId="0" borderId="0" applyFont="0" applyFill="0" applyBorder="0" applyAlignment="0" applyProtection="0"/>
    <xf numFmtId="186" fontId="37" fillId="0" borderId="0" applyFont="0" applyFill="0" applyBorder="0" applyAlignment="0" applyProtection="0"/>
    <xf numFmtId="186" fontId="37" fillId="0" borderId="0" applyFont="0" applyFill="0" applyBorder="0" applyAlignment="0" applyProtection="0"/>
    <xf numFmtId="181" fontId="37" fillId="0" borderId="0" applyFont="0" applyFill="0" applyBorder="0" applyAlignment="0" applyProtection="0"/>
    <xf numFmtId="173" fontId="43" fillId="0" borderId="0" applyFont="0" applyFill="0" applyBorder="0" applyAlignment="0" applyProtection="0"/>
    <xf numFmtId="173" fontId="43" fillId="0" borderId="0" applyFont="0" applyFill="0" applyBorder="0" applyAlignment="0" applyProtection="0"/>
    <xf numFmtId="173" fontId="43" fillId="0" borderId="0" applyFon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89" fontId="43" fillId="0" borderId="0" applyFont="0" applyFill="0" applyBorder="0" applyAlignment="0" applyProtection="0"/>
    <xf numFmtId="182" fontId="43" fillId="0" borderId="0" applyFont="0" applyFill="0" applyBorder="0" applyAlignment="0" applyProtection="0"/>
    <xf numFmtId="195" fontId="43" fillId="0" borderId="0" applyFont="0" applyFill="0" applyBorder="0" applyAlignment="0" applyProtection="0"/>
    <xf numFmtId="195" fontId="43" fillId="0" borderId="0" applyFont="0" applyFill="0" applyBorder="0" applyAlignment="0" applyProtection="0"/>
    <xf numFmtId="195" fontId="43" fillId="0" borderId="0" applyFont="0" applyFill="0" applyBorder="0" applyAlignment="0" applyProtection="0"/>
    <xf numFmtId="195" fontId="43" fillId="0" borderId="0" applyFont="0" applyFill="0" applyBorder="0" applyAlignment="0" applyProtection="0"/>
    <xf numFmtId="182" fontId="37" fillId="0" borderId="0" applyFont="0" applyFill="0" applyBorder="0" applyAlignment="0" applyProtection="0"/>
    <xf numFmtId="195" fontId="43" fillId="0" borderId="0" applyFont="0" applyFill="0" applyBorder="0" applyAlignment="0" applyProtection="0"/>
    <xf numFmtId="182" fontId="43" fillId="0" borderId="0" applyFon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52" fillId="0" borderId="0"/>
    <xf numFmtId="173" fontId="43" fillId="0" borderId="0" applyFont="0" applyFill="0" applyBorder="0" applyAlignment="0" applyProtection="0"/>
    <xf numFmtId="173" fontId="43" fillId="0" borderId="0" applyFont="0" applyFill="0" applyBorder="0" applyAlignment="0" applyProtection="0"/>
    <xf numFmtId="0" fontId="52" fillId="0" borderId="0"/>
    <xf numFmtId="196" fontId="43" fillId="0" borderId="0" applyFont="0" applyFill="0" applyBorder="0" applyAlignment="0" applyProtection="0"/>
    <xf numFmtId="173" fontId="43" fillId="0" borderId="0" applyFont="0" applyFill="0" applyBorder="0" applyAlignment="0" applyProtection="0"/>
    <xf numFmtId="173" fontId="43" fillId="0" borderId="0" applyFont="0" applyFill="0" applyBorder="0" applyAlignment="0" applyProtection="0"/>
    <xf numFmtId="167" fontId="37" fillId="0" borderId="0" applyFont="0" applyFill="0" applyBorder="0" applyAlignment="0" applyProtection="0"/>
    <xf numFmtId="187" fontId="43" fillId="0" borderId="0" applyFont="0" applyFill="0" applyBorder="0" applyAlignment="0" applyProtection="0"/>
    <xf numFmtId="167"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197" fontId="43" fillId="0" borderId="0" applyFont="0" applyFill="0" applyBorder="0" applyAlignment="0" applyProtection="0"/>
    <xf numFmtId="169"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9" fontId="43" fillId="0" borderId="0" applyFont="0" applyFill="0" applyBorder="0" applyAlignment="0" applyProtection="0"/>
    <xf numFmtId="187" fontId="43" fillId="0" borderId="0" applyFont="0" applyFill="0" applyBorder="0" applyAlignment="0" applyProtection="0"/>
    <xf numFmtId="198" fontId="43"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7" fontId="43" fillId="0" borderId="0" applyFont="0" applyFill="0" applyBorder="0" applyAlignment="0" applyProtection="0"/>
    <xf numFmtId="169"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167" fontId="43" fillId="0" borderId="0" applyFont="0" applyFill="0" applyBorder="0" applyAlignment="0" applyProtection="0"/>
    <xf numFmtId="41" fontId="43" fillId="0" borderId="0" applyFont="0" applyFill="0" applyBorder="0" applyAlignment="0" applyProtection="0"/>
    <xf numFmtId="18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97" fontId="43" fillId="0" borderId="0" applyFont="0" applyFill="0" applyBorder="0" applyAlignment="0" applyProtection="0"/>
    <xf numFmtId="187" fontId="43" fillId="0" borderId="0" applyFont="0" applyFill="0" applyBorder="0" applyAlignment="0" applyProtection="0"/>
    <xf numFmtId="187" fontId="43" fillId="0" borderId="0" applyFont="0" applyFill="0" applyBorder="0" applyAlignment="0" applyProtection="0"/>
    <xf numFmtId="198" fontId="43" fillId="0" borderId="0" applyFont="0" applyFill="0" applyBorder="0" applyAlignment="0" applyProtection="0"/>
    <xf numFmtId="187" fontId="43" fillId="0" borderId="0" applyFont="0" applyFill="0" applyBorder="0" applyAlignment="0" applyProtection="0"/>
    <xf numFmtId="187" fontId="43" fillId="0" borderId="0" applyFont="0" applyFill="0" applyBorder="0" applyAlignment="0" applyProtection="0"/>
    <xf numFmtId="187" fontId="43" fillId="0" borderId="0" applyFont="0" applyFill="0" applyBorder="0" applyAlignment="0" applyProtection="0"/>
    <xf numFmtId="187" fontId="43" fillId="0" borderId="0" applyFont="0" applyFill="0" applyBorder="0" applyAlignment="0" applyProtection="0"/>
    <xf numFmtId="187" fontId="43" fillId="0" borderId="0" applyFont="0" applyFill="0" applyBorder="0" applyAlignment="0" applyProtection="0"/>
    <xf numFmtId="187" fontId="43" fillId="0" borderId="0" applyFont="0" applyFill="0" applyBorder="0" applyAlignment="0" applyProtection="0"/>
    <xf numFmtId="187" fontId="43" fillId="0" borderId="0" applyFont="0" applyFill="0" applyBorder="0" applyAlignment="0" applyProtection="0"/>
    <xf numFmtId="187" fontId="43" fillId="0" borderId="0" applyFont="0" applyFill="0" applyBorder="0" applyAlignment="0" applyProtection="0"/>
    <xf numFmtId="41" fontId="43" fillId="0" borderId="0" applyFont="0" applyFill="0" applyBorder="0" applyAlignment="0" applyProtection="0"/>
    <xf numFmtId="169"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9" fontId="43" fillId="0" borderId="0" applyFont="0" applyFill="0" applyBorder="0" applyAlignment="0" applyProtection="0"/>
    <xf numFmtId="187" fontId="43" fillId="0" borderId="0" applyFont="0" applyFill="0" applyBorder="0" applyAlignment="0" applyProtection="0"/>
    <xf numFmtId="167" fontId="43"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7" fontId="43" fillId="0" borderId="0" applyFont="0" applyFill="0" applyBorder="0" applyAlignment="0" applyProtection="0"/>
    <xf numFmtId="198" fontId="43" fillId="0" borderId="0" applyFont="0" applyFill="0" applyBorder="0" applyAlignment="0" applyProtection="0"/>
    <xf numFmtId="41" fontId="43" fillId="0" borderId="0" applyFont="0" applyFill="0" applyBorder="0" applyAlignment="0" applyProtection="0"/>
    <xf numFmtId="198" fontId="43" fillId="0" borderId="0" applyFont="0" applyFill="0" applyBorder="0" applyAlignment="0" applyProtection="0"/>
    <xf numFmtId="187" fontId="43" fillId="0" borderId="0" applyFont="0" applyFill="0" applyBorder="0" applyAlignment="0" applyProtection="0"/>
    <xf numFmtId="197" fontId="43" fillId="0" borderId="0" applyFont="0" applyFill="0" applyBorder="0" applyAlignment="0" applyProtection="0"/>
    <xf numFmtId="187" fontId="43" fillId="0" borderId="0" applyFont="0" applyFill="0" applyBorder="0" applyAlignment="0" applyProtection="0"/>
    <xf numFmtId="169" fontId="43" fillId="0" borderId="0" applyFont="0" applyFill="0" applyBorder="0" applyAlignment="0" applyProtection="0"/>
    <xf numFmtId="167" fontId="43" fillId="0" borderId="0" applyFont="0" applyFill="0" applyBorder="0" applyAlignment="0" applyProtection="0"/>
    <xf numFmtId="198" fontId="43" fillId="0" borderId="0" applyFont="0" applyFill="0" applyBorder="0" applyAlignment="0" applyProtection="0"/>
    <xf numFmtId="169" fontId="43" fillId="0" borderId="0" applyFont="0" applyFill="0" applyBorder="0" applyAlignment="0" applyProtection="0"/>
    <xf numFmtId="199" fontId="43" fillId="0" borderId="0" applyFont="0" applyFill="0" applyBorder="0" applyAlignment="0" applyProtection="0"/>
    <xf numFmtId="200" fontId="43" fillId="0" borderId="0" applyFont="0" applyFill="0" applyBorder="0" applyAlignment="0" applyProtection="0"/>
    <xf numFmtId="198" fontId="43"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97" fontId="43" fillId="0" borderId="0" applyFont="0" applyFill="0" applyBorder="0" applyAlignment="0" applyProtection="0"/>
    <xf numFmtId="187" fontId="43" fillId="0" borderId="0" applyFont="0" applyFill="0" applyBorder="0" applyAlignment="0" applyProtection="0"/>
    <xf numFmtId="190" fontId="43" fillId="0" borderId="0" applyFont="0" applyFill="0" applyBorder="0" applyAlignment="0" applyProtection="0"/>
    <xf numFmtId="168"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91" fontId="43" fillId="0" borderId="0" applyFont="0" applyFill="0" applyBorder="0" applyAlignment="0" applyProtection="0"/>
    <xf numFmtId="170" fontId="43" fillId="0" borderId="0" applyFont="0" applyFill="0" applyBorder="0" applyAlignment="0" applyProtection="0"/>
    <xf numFmtId="168" fontId="43" fillId="0" borderId="0" applyFont="0" applyFill="0" applyBorder="0" applyAlignment="0" applyProtection="0"/>
    <xf numFmtId="168" fontId="43" fillId="0" borderId="0" applyFont="0" applyFill="0" applyBorder="0" applyAlignment="0" applyProtection="0"/>
    <xf numFmtId="168" fontId="43" fillId="0" borderId="0" applyFont="0" applyFill="0" applyBorder="0" applyAlignment="0" applyProtection="0"/>
    <xf numFmtId="170" fontId="43" fillId="0" borderId="0" applyFont="0" applyFill="0" applyBorder="0" applyAlignment="0" applyProtection="0"/>
    <xf numFmtId="190" fontId="43" fillId="0" borderId="0" applyFont="0" applyFill="0" applyBorder="0" applyAlignment="0" applyProtection="0"/>
    <xf numFmtId="192"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68" fontId="43" fillId="0" borderId="0" applyFont="0" applyFill="0" applyBorder="0" applyAlignment="0" applyProtection="0"/>
    <xf numFmtId="170"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168" fontId="43" fillId="0" borderId="0" applyFont="0" applyFill="0" applyBorder="0" applyAlignment="0" applyProtection="0"/>
    <xf numFmtId="43" fontId="43" fillId="0" borderId="0" applyFont="0" applyFill="0" applyBorder="0" applyAlignment="0" applyProtection="0"/>
    <xf numFmtId="190" fontId="43" fillId="0" borderId="0" applyFont="0" applyFill="0" applyBorder="0" applyAlignment="0" applyProtection="0"/>
    <xf numFmtId="168" fontId="43" fillId="0" borderId="0" applyFont="0" applyFill="0" applyBorder="0" applyAlignment="0" applyProtection="0"/>
    <xf numFmtId="168" fontId="43" fillId="0" borderId="0" applyFont="0" applyFill="0" applyBorder="0" applyAlignment="0" applyProtection="0"/>
    <xf numFmtId="168" fontId="43" fillId="0" borderId="0" applyFont="0" applyFill="0" applyBorder="0" applyAlignment="0" applyProtection="0"/>
    <xf numFmtId="191" fontId="43" fillId="0" borderId="0" applyFont="0" applyFill="0" applyBorder="0" applyAlignment="0" applyProtection="0"/>
    <xf numFmtId="190" fontId="43" fillId="0" borderId="0" applyFont="0" applyFill="0" applyBorder="0" applyAlignment="0" applyProtection="0"/>
    <xf numFmtId="190" fontId="43" fillId="0" borderId="0" applyFont="0" applyFill="0" applyBorder="0" applyAlignment="0" applyProtection="0"/>
    <xf numFmtId="192" fontId="43" fillId="0" borderId="0" applyFont="0" applyFill="0" applyBorder="0" applyAlignment="0" applyProtection="0"/>
    <xf numFmtId="190" fontId="43" fillId="0" borderId="0" applyFont="0" applyFill="0" applyBorder="0" applyAlignment="0" applyProtection="0"/>
    <xf numFmtId="190" fontId="43" fillId="0" borderId="0" applyFont="0" applyFill="0" applyBorder="0" applyAlignment="0" applyProtection="0"/>
    <xf numFmtId="190" fontId="43" fillId="0" borderId="0" applyFont="0" applyFill="0" applyBorder="0" applyAlignment="0" applyProtection="0"/>
    <xf numFmtId="190" fontId="43" fillId="0" borderId="0" applyFont="0" applyFill="0" applyBorder="0" applyAlignment="0" applyProtection="0"/>
    <xf numFmtId="190" fontId="43" fillId="0" borderId="0" applyFont="0" applyFill="0" applyBorder="0" applyAlignment="0" applyProtection="0"/>
    <xf numFmtId="190" fontId="43" fillId="0" borderId="0" applyFont="0" applyFill="0" applyBorder="0" applyAlignment="0" applyProtection="0"/>
    <xf numFmtId="190" fontId="43" fillId="0" borderId="0" applyFont="0" applyFill="0" applyBorder="0" applyAlignment="0" applyProtection="0"/>
    <xf numFmtId="190" fontId="43" fillId="0" borderId="0" applyFont="0" applyFill="0" applyBorder="0" applyAlignment="0" applyProtection="0"/>
    <xf numFmtId="43" fontId="43" fillId="0" borderId="0" applyFont="0" applyFill="0" applyBorder="0" applyAlignment="0" applyProtection="0"/>
    <xf numFmtId="170" fontId="43" fillId="0" borderId="0" applyFont="0" applyFill="0" applyBorder="0" applyAlignment="0" applyProtection="0"/>
    <xf numFmtId="168" fontId="43" fillId="0" borderId="0" applyFont="0" applyFill="0" applyBorder="0" applyAlignment="0" applyProtection="0"/>
    <xf numFmtId="168" fontId="43" fillId="0" borderId="0" applyFont="0" applyFill="0" applyBorder="0" applyAlignment="0" applyProtection="0"/>
    <xf numFmtId="170" fontId="43" fillId="0" borderId="0" applyFont="0" applyFill="0" applyBorder="0" applyAlignment="0" applyProtection="0"/>
    <xf numFmtId="190" fontId="43" fillId="0" borderId="0" applyFont="0" applyFill="0" applyBorder="0" applyAlignment="0" applyProtection="0"/>
    <xf numFmtId="168"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68" fontId="43" fillId="0" borderId="0" applyFont="0" applyFill="0" applyBorder="0" applyAlignment="0" applyProtection="0"/>
    <xf numFmtId="192" fontId="43" fillId="0" borderId="0" applyFont="0" applyFill="0" applyBorder="0" applyAlignment="0" applyProtection="0"/>
    <xf numFmtId="43" fontId="43" fillId="0" borderId="0" applyFont="0" applyFill="0" applyBorder="0" applyAlignment="0" applyProtection="0"/>
    <xf numFmtId="192" fontId="43" fillId="0" borderId="0" applyFont="0" applyFill="0" applyBorder="0" applyAlignment="0" applyProtection="0"/>
    <xf numFmtId="190" fontId="43" fillId="0" borderId="0" applyFont="0" applyFill="0" applyBorder="0" applyAlignment="0" applyProtection="0"/>
    <xf numFmtId="191" fontId="43" fillId="0" borderId="0" applyFont="0" applyFill="0" applyBorder="0" applyAlignment="0" applyProtection="0"/>
    <xf numFmtId="190" fontId="43" fillId="0" borderId="0" applyFont="0" applyFill="0" applyBorder="0" applyAlignment="0" applyProtection="0"/>
    <xf numFmtId="170" fontId="43" fillId="0" borderId="0" applyFont="0" applyFill="0" applyBorder="0" applyAlignment="0" applyProtection="0"/>
    <xf numFmtId="168" fontId="43" fillId="0" borderId="0" applyFont="0" applyFill="0" applyBorder="0" applyAlignment="0" applyProtection="0"/>
    <xf numFmtId="192" fontId="43" fillId="0" borderId="0" applyFont="0" applyFill="0" applyBorder="0" applyAlignment="0" applyProtection="0"/>
    <xf numFmtId="170" fontId="43" fillId="0" borderId="0" applyFont="0" applyFill="0" applyBorder="0" applyAlignment="0" applyProtection="0"/>
    <xf numFmtId="193" fontId="43" fillId="0" borderId="0" applyFont="0" applyFill="0" applyBorder="0" applyAlignment="0" applyProtection="0"/>
    <xf numFmtId="194" fontId="43" fillId="0" borderId="0" applyFont="0" applyFill="0" applyBorder="0" applyAlignment="0" applyProtection="0"/>
    <xf numFmtId="192"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70" fontId="43" fillId="0" borderId="0" applyFont="0" applyFill="0" applyBorder="0" applyAlignment="0" applyProtection="0"/>
    <xf numFmtId="191" fontId="43" fillId="0" borderId="0" applyFont="0" applyFill="0" applyBorder="0" applyAlignment="0" applyProtection="0"/>
    <xf numFmtId="190" fontId="43" fillId="0" borderId="0" applyFont="0" applyFill="0" applyBorder="0" applyAlignment="0" applyProtection="0"/>
    <xf numFmtId="186" fontId="37" fillId="0" borderId="0" applyFont="0" applyFill="0" applyBorder="0" applyAlignment="0" applyProtection="0"/>
    <xf numFmtId="186" fontId="37" fillId="0" borderId="0" applyFont="0" applyFill="0" applyBorder="0" applyAlignment="0" applyProtection="0"/>
    <xf numFmtId="181" fontId="37" fillId="0" borderId="0" applyFont="0" applyFill="0" applyBorder="0" applyAlignment="0" applyProtection="0"/>
    <xf numFmtId="168" fontId="37" fillId="0" borderId="0" applyFont="0" applyFill="0" applyBorder="0" applyAlignment="0" applyProtection="0"/>
    <xf numFmtId="189" fontId="43" fillId="0" borderId="0" applyFont="0" applyFill="0" applyBorder="0" applyAlignment="0" applyProtection="0"/>
    <xf numFmtId="173" fontId="43" fillId="0" borderId="0" applyFon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173" fontId="43" fillId="0" borderId="0" applyFont="0" applyFill="0" applyBorder="0" applyAlignment="0" applyProtection="0"/>
    <xf numFmtId="0" fontId="53" fillId="0" borderId="0">
      <alignment vertical="top"/>
    </xf>
    <xf numFmtId="0" fontId="54" fillId="0" borderId="0">
      <alignment vertical="top"/>
    </xf>
    <xf numFmtId="0" fontId="53" fillId="0" borderId="0">
      <alignment vertical="top"/>
    </xf>
    <xf numFmtId="0" fontId="53" fillId="0" borderId="0">
      <alignment vertical="top"/>
    </xf>
    <xf numFmtId="0" fontId="53" fillId="0" borderId="0">
      <alignment vertical="top"/>
    </xf>
    <xf numFmtId="0" fontId="53" fillId="0" borderId="0">
      <alignment vertical="top"/>
    </xf>
    <xf numFmtId="0" fontId="54" fillId="0" borderId="0">
      <alignment vertical="top"/>
    </xf>
    <xf numFmtId="0" fontId="53" fillId="0" borderId="0">
      <alignment vertical="top"/>
    </xf>
    <xf numFmtId="0" fontId="53" fillId="0" borderId="0">
      <alignment vertical="top"/>
    </xf>
    <xf numFmtId="0" fontId="53" fillId="0" borderId="0">
      <alignment vertical="top"/>
    </xf>
    <xf numFmtId="0" fontId="54" fillId="0" borderId="0">
      <alignment vertical="top"/>
    </xf>
    <xf numFmtId="0" fontId="54" fillId="0" borderId="0">
      <alignment vertical="top"/>
    </xf>
    <xf numFmtId="0" fontId="53" fillId="0" borderId="0">
      <alignment vertical="top"/>
    </xf>
    <xf numFmtId="0" fontId="54" fillId="0" borderId="0">
      <alignment vertical="top"/>
    </xf>
    <xf numFmtId="0" fontId="53" fillId="0" borderId="0">
      <alignment vertical="top"/>
    </xf>
    <xf numFmtId="0" fontId="53" fillId="0" borderId="0">
      <alignment vertical="top"/>
    </xf>
    <xf numFmtId="0" fontId="53" fillId="0" borderId="0">
      <alignment vertical="top"/>
    </xf>
    <xf numFmtId="0" fontId="54" fillId="0" borderId="0">
      <alignment vertical="top"/>
    </xf>
    <xf numFmtId="181" fontId="41" fillId="0" borderId="0" applyProtection="0"/>
    <xf numFmtId="186" fontId="41" fillId="0" borderId="0" applyProtection="0"/>
    <xf numFmtId="186" fontId="41" fillId="0" borderId="0" applyProtection="0"/>
    <xf numFmtId="0" fontId="38" fillId="0" borderId="0" applyProtection="0"/>
    <xf numFmtId="189" fontId="43" fillId="0" borderId="0" applyFon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52" fillId="0" borderId="0"/>
    <xf numFmtId="188" fontId="43" fillId="0" borderId="0" applyFont="0" applyFill="0" applyBorder="0" applyAlignment="0" applyProtection="0"/>
    <xf numFmtId="0" fontId="52" fillId="0" borderId="0"/>
    <xf numFmtId="173" fontId="43" fillId="0" borderId="0" applyFont="0" applyFill="0" applyBorder="0" applyAlignment="0" applyProtection="0"/>
    <xf numFmtId="201" fontId="56" fillId="0" borderId="0" applyFont="0" applyFill="0" applyBorder="0" applyAlignment="0" applyProtection="0"/>
    <xf numFmtId="202" fontId="57" fillId="0" borderId="0" applyFont="0" applyFill="0" applyBorder="0" applyAlignment="0" applyProtection="0"/>
    <xf numFmtId="203" fontId="57" fillId="0" borderId="0" applyFont="0" applyFill="0" applyBorder="0" applyAlignment="0" applyProtection="0"/>
    <xf numFmtId="0" fontId="58" fillId="0" borderId="0"/>
    <xf numFmtId="0" fontId="58" fillId="0" borderId="0"/>
    <xf numFmtId="0" fontId="59" fillId="0" borderId="0"/>
    <xf numFmtId="0" fontId="11" fillId="0" borderId="0"/>
    <xf numFmtId="1" fontId="60" fillId="0" borderId="2" applyBorder="0" applyAlignment="0">
      <alignment horizontal="center"/>
    </xf>
    <xf numFmtId="1" fontId="60" fillId="0" borderId="2" applyBorder="0" applyAlignment="0">
      <alignment horizontal="center"/>
    </xf>
    <xf numFmtId="0" fontId="61" fillId="0" borderId="0"/>
    <xf numFmtId="0" fontId="61" fillId="0" borderId="0" applyProtection="0"/>
    <xf numFmtId="3" fontId="39" fillId="0" borderId="2"/>
    <xf numFmtId="3" fontId="39" fillId="0" borderId="2"/>
    <xf numFmtId="3" fontId="39" fillId="0" borderId="2"/>
    <xf numFmtId="3" fontId="39" fillId="0" borderId="2"/>
    <xf numFmtId="201" fontId="56" fillId="0" borderId="0" applyFont="0" applyFill="0" applyBorder="0" applyAlignment="0" applyProtection="0"/>
    <xf numFmtId="0" fontId="62" fillId="3" borderId="0"/>
    <xf numFmtId="0" fontId="62" fillId="3" borderId="0"/>
    <xf numFmtId="201" fontId="56" fillId="0" borderId="0" applyFont="0" applyFill="0" applyBorder="0" applyAlignment="0" applyProtection="0"/>
    <xf numFmtId="0" fontId="62"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201" fontId="56" fillId="0" borderId="0" applyFont="0" applyFill="0" applyBorder="0" applyAlignment="0" applyProtection="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4" fillId="0" borderId="0" applyFont="0" applyFill="0" applyBorder="0" applyAlignment="0">
      <alignment horizontal="left"/>
    </xf>
    <xf numFmtId="0" fontId="62" fillId="3" borderId="0"/>
    <xf numFmtId="0" fontId="64" fillId="0" borderId="0" applyFont="0" applyFill="0" applyBorder="0" applyAlignment="0">
      <alignment horizontal="left"/>
    </xf>
    <xf numFmtId="0" fontId="63" fillId="3" borderId="0"/>
    <xf numFmtId="0" fontId="63" fillId="3" borderId="0"/>
    <xf numFmtId="0" fontId="63" fillId="3" borderId="0"/>
    <xf numFmtId="0" fontId="63" fillId="3" borderId="0"/>
    <xf numFmtId="0" fontId="63" fillId="3" borderId="0"/>
    <xf numFmtId="0" fontId="63" fillId="3" borderId="0"/>
    <xf numFmtId="201" fontId="56" fillId="0" borderId="0" applyFont="0" applyFill="0" applyBorder="0" applyAlignment="0" applyProtection="0"/>
    <xf numFmtId="0" fontId="62" fillId="3" borderId="0"/>
    <xf numFmtId="0" fontId="62" fillId="3" borderId="0"/>
    <xf numFmtId="0" fontId="65" fillId="0" borderId="2" applyNumberFormat="0" applyFont="0" applyBorder="0">
      <alignment horizontal="left" indent="2"/>
    </xf>
    <xf numFmtId="0" fontId="65" fillId="0" borderId="2" applyNumberFormat="0" applyFont="0" applyBorder="0">
      <alignment horizontal="left" indent="2"/>
    </xf>
    <xf numFmtId="0" fontId="64" fillId="0" borderId="0" applyFont="0" applyFill="0" applyBorder="0" applyAlignment="0">
      <alignment horizontal="left"/>
    </xf>
    <xf numFmtId="0" fontId="64" fillId="0" borderId="0" applyFont="0" applyFill="0" applyBorder="0" applyAlignment="0">
      <alignment horizontal="left"/>
    </xf>
    <xf numFmtId="0" fontId="66" fillId="0" borderId="0"/>
    <xf numFmtId="0" fontId="67" fillId="4" borderId="9" applyFont="0" applyFill="0" applyAlignment="0">
      <alignment vertical="center" wrapText="1"/>
    </xf>
    <xf numFmtId="9" fontId="68" fillId="0" borderId="0" applyBorder="0" applyAlignment="0" applyProtection="0"/>
    <xf numFmtId="0" fontId="69" fillId="3" borderId="0"/>
    <xf numFmtId="0" fontId="69"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9" fillId="3" borderId="0"/>
    <xf numFmtId="0" fontId="69" fillId="3" borderId="0"/>
    <xf numFmtId="0" fontId="65" fillId="0" borderId="2" applyNumberFormat="0" applyFont="0" applyBorder="0" applyAlignment="0">
      <alignment horizontal="center"/>
    </xf>
    <xf numFmtId="0" fontId="65" fillId="0" borderId="2" applyNumberFormat="0" applyFont="0" applyBorder="0" applyAlignment="0">
      <alignment horizontal="center"/>
    </xf>
    <xf numFmtId="0" fontId="6" fillId="0" borderId="0"/>
    <xf numFmtId="0" fontId="70" fillId="3" borderId="0"/>
    <xf numFmtId="0" fontId="70"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63" fillId="3" borderId="0"/>
    <xf numFmtId="0" fontId="70" fillId="3" borderId="0"/>
    <xf numFmtId="0" fontId="71" fillId="0" borderId="0">
      <alignment wrapText="1"/>
    </xf>
    <xf numFmtId="0" fontId="71" fillId="0" borderId="0">
      <alignment wrapText="1"/>
    </xf>
    <xf numFmtId="0" fontId="63" fillId="0" borderId="0">
      <alignment wrapText="1"/>
    </xf>
    <xf numFmtId="0" fontId="63" fillId="0" borderId="0">
      <alignment wrapText="1"/>
    </xf>
    <xf numFmtId="0" fontId="63" fillId="0" borderId="0">
      <alignment wrapText="1"/>
    </xf>
    <xf numFmtId="0" fontId="63" fillId="0" borderId="0">
      <alignment wrapText="1"/>
    </xf>
    <xf numFmtId="0" fontId="63" fillId="0" borderId="0">
      <alignment wrapText="1"/>
    </xf>
    <xf numFmtId="0" fontId="63" fillId="0" borderId="0">
      <alignment wrapText="1"/>
    </xf>
    <xf numFmtId="0" fontId="63" fillId="0" borderId="0">
      <alignment wrapText="1"/>
    </xf>
    <xf numFmtId="0" fontId="63" fillId="0" borderId="0">
      <alignment wrapText="1"/>
    </xf>
    <xf numFmtId="0" fontId="63" fillId="0" borderId="0">
      <alignment wrapText="1"/>
    </xf>
    <xf numFmtId="0" fontId="63" fillId="0" borderId="0">
      <alignment wrapText="1"/>
    </xf>
    <xf numFmtId="0" fontId="63" fillId="0" borderId="0">
      <alignment wrapText="1"/>
    </xf>
    <xf numFmtId="0" fontId="63" fillId="0" borderId="0">
      <alignment wrapText="1"/>
    </xf>
    <xf numFmtId="0" fontId="63" fillId="0" borderId="0">
      <alignment wrapText="1"/>
    </xf>
    <xf numFmtId="0" fontId="63" fillId="0" borderId="0">
      <alignment wrapText="1"/>
    </xf>
    <xf numFmtId="0" fontId="63" fillId="0" borderId="0">
      <alignment wrapText="1"/>
    </xf>
    <xf numFmtId="0" fontId="63" fillId="0" borderId="0">
      <alignment wrapText="1"/>
    </xf>
    <xf numFmtId="0" fontId="63" fillId="0" borderId="0">
      <alignment wrapText="1"/>
    </xf>
    <xf numFmtId="0" fontId="63" fillId="0" borderId="0">
      <alignment wrapText="1"/>
    </xf>
    <xf numFmtId="0" fontId="63" fillId="0" borderId="0">
      <alignment wrapText="1"/>
    </xf>
    <xf numFmtId="0" fontId="63" fillId="0" borderId="0">
      <alignment wrapText="1"/>
    </xf>
    <xf numFmtId="0" fontId="63" fillId="0" borderId="0">
      <alignment wrapText="1"/>
    </xf>
    <xf numFmtId="0" fontId="63" fillId="0" borderId="0">
      <alignment wrapText="1"/>
    </xf>
    <xf numFmtId="0" fontId="63" fillId="0" borderId="0">
      <alignment wrapText="1"/>
    </xf>
    <xf numFmtId="0" fontId="63" fillId="0" borderId="0">
      <alignment wrapText="1"/>
    </xf>
    <xf numFmtId="0" fontId="63" fillId="0" borderId="0">
      <alignment wrapText="1"/>
    </xf>
    <xf numFmtId="0" fontId="63" fillId="0" borderId="0">
      <alignment wrapText="1"/>
    </xf>
    <xf numFmtId="0" fontId="63" fillId="0" borderId="0">
      <alignment wrapText="1"/>
    </xf>
    <xf numFmtId="0" fontId="63" fillId="0" borderId="0">
      <alignment wrapText="1"/>
    </xf>
    <xf numFmtId="0" fontId="63" fillId="0" borderId="0">
      <alignment wrapText="1"/>
    </xf>
    <xf numFmtId="0" fontId="63" fillId="0" borderId="0">
      <alignment wrapText="1"/>
    </xf>
    <xf numFmtId="0" fontId="71" fillId="0" borderId="0">
      <alignment wrapText="1"/>
    </xf>
    <xf numFmtId="175" fontId="72" fillId="0" borderId="1" applyNumberFormat="0" applyFont="0" applyBorder="0" applyAlignment="0">
      <alignment horizontal="center" vertical="center"/>
    </xf>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73" fillId="0" borderId="0"/>
    <xf numFmtId="0" fontId="73" fillId="0" borderId="0"/>
    <xf numFmtId="0" fontId="73" fillId="0" borderId="0"/>
    <xf numFmtId="0" fontId="73" fillId="0" borderId="0"/>
    <xf numFmtId="0" fontId="73" fillId="0" borderId="0"/>
    <xf numFmtId="0" fontId="73" fillId="0" borderId="0"/>
    <xf numFmtId="204" fontId="74" fillId="0" borderId="0" applyFont="0" applyFill="0" applyBorder="0" applyAlignment="0" applyProtection="0"/>
    <xf numFmtId="0" fontId="75" fillId="0" borderId="0" applyFont="0" applyFill="0" applyBorder="0" applyAlignment="0" applyProtection="0"/>
    <xf numFmtId="165" fontId="76" fillId="0" borderId="0" applyFont="0" applyFill="0" applyBorder="0" applyAlignment="0" applyProtection="0"/>
    <xf numFmtId="197" fontId="74" fillId="0" borderId="0" applyFont="0" applyFill="0" applyBorder="0" applyAlignment="0" applyProtection="0"/>
    <xf numFmtId="0" fontId="75" fillId="0" borderId="0" applyFont="0" applyFill="0" applyBorder="0" applyAlignment="0" applyProtection="0"/>
    <xf numFmtId="205" fontId="74" fillId="0" borderId="0" applyFont="0" applyFill="0" applyBorder="0" applyAlignment="0" applyProtection="0"/>
    <xf numFmtId="0" fontId="77" fillId="0" borderId="0">
      <alignment horizontal="center" wrapText="1"/>
      <protection locked="0"/>
    </xf>
    <xf numFmtId="0" fontId="78" fillId="0" borderId="0" applyNumberFormat="0" applyBorder="0" applyAlignment="0">
      <alignment horizontal="center"/>
    </xf>
    <xf numFmtId="206" fontId="79" fillId="0" borderId="0" applyFont="0" applyFill="0" applyBorder="0" applyAlignment="0" applyProtection="0"/>
    <xf numFmtId="0" fontId="75" fillId="0" borderId="0" applyFont="0" applyFill="0" applyBorder="0" applyAlignment="0" applyProtection="0"/>
    <xf numFmtId="207" fontId="43" fillId="0" borderId="0" applyFont="0" applyFill="0" applyBorder="0" applyAlignment="0" applyProtection="0"/>
    <xf numFmtId="208" fontId="79" fillId="0" borderId="0" applyFont="0" applyFill="0" applyBorder="0" applyAlignment="0" applyProtection="0"/>
    <xf numFmtId="0" fontId="75" fillId="0" borderId="0" applyFont="0" applyFill="0" applyBorder="0" applyAlignment="0" applyProtection="0"/>
    <xf numFmtId="209" fontId="43" fillId="0" borderId="0" applyFont="0" applyFill="0" applyBorder="0" applyAlignment="0" applyProtection="0"/>
    <xf numFmtId="186" fontId="37" fillId="0" borderId="0" applyFont="0" applyFill="0" applyBorder="0" applyAlignment="0" applyProtection="0"/>
    <xf numFmtId="0" fontId="80" fillId="0" borderId="0" applyNumberFormat="0" applyFill="0" applyBorder="0" applyAlignment="0" applyProtection="0"/>
    <xf numFmtId="0" fontId="75" fillId="0" borderId="0"/>
    <xf numFmtId="0" fontId="81" fillId="0" borderId="0"/>
    <xf numFmtId="0" fontId="11" fillId="0" borderId="0"/>
    <xf numFmtId="0" fontId="75" fillId="0" borderId="0"/>
    <xf numFmtId="0" fontId="82" fillId="0" borderId="0"/>
    <xf numFmtId="0" fontId="83" fillId="0" borderId="0"/>
    <xf numFmtId="0" fontId="84" fillId="0" borderId="0"/>
    <xf numFmtId="210" fontId="55" fillId="0" borderId="0" applyFill="0" applyBorder="0" applyAlignment="0"/>
    <xf numFmtId="211" fontId="85" fillId="0" borderId="0" applyFill="0" applyBorder="0" applyAlignment="0"/>
    <xf numFmtId="212" fontId="6" fillId="0" borderId="0" applyFill="0" applyBorder="0" applyAlignment="0"/>
    <xf numFmtId="213" fontId="6" fillId="0" borderId="0" applyFill="0" applyBorder="0" applyAlignment="0"/>
    <xf numFmtId="214" fontId="6" fillId="0" borderId="0" applyFill="0" applyBorder="0" applyAlignment="0"/>
    <xf numFmtId="215" fontId="85" fillId="0" borderId="0" applyFill="0" applyBorder="0" applyAlignment="0"/>
    <xf numFmtId="216" fontId="85" fillId="0" borderId="0" applyFill="0" applyBorder="0" applyAlignment="0"/>
    <xf numFmtId="211" fontId="85" fillId="0" borderId="0" applyFill="0" applyBorder="0" applyAlignment="0"/>
    <xf numFmtId="0" fontId="86" fillId="0" borderId="0"/>
    <xf numFmtId="217" fontId="43" fillId="0" borderId="0" applyFont="0" applyFill="0" applyBorder="0" applyAlignment="0" applyProtection="0"/>
    <xf numFmtId="175" fontId="61" fillId="0" borderId="0" applyFont="0" applyFill="0" applyBorder="0" applyAlignment="0" applyProtection="0"/>
    <xf numFmtId="1" fontId="87" fillId="0" borderId="5" applyBorder="0"/>
    <xf numFmtId="218" fontId="88" fillId="0" borderId="0"/>
    <xf numFmtId="218" fontId="88" fillId="0" borderId="0"/>
    <xf numFmtId="218" fontId="88" fillId="0" borderId="0"/>
    <xf numFmtId="218" fontId="88" fillId="0" borderId="0"/>
    <xf numFmtId="218" fontId="88" fillId="0" borderId="0"/>
    <xf numFmtId="218" fontId="88" fillId="0" borderId="0"/>
    <xf numFmtId="218" fontId="88" fillId="0" borderId="0"/>
    <xf numFmtId="218" fontId="88" fillId="0" borderId="0"/>
    <xf numFmtId="169" fontId="5"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19" fontId="41" fillId="0" borderId="0" applyProtection="0"/>
    <xf numFmtId="219" fontId="41" fillId="0" borderId="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72" fontId="41" fillId="0" borderId="0" applyFont="0" applyFill="0" applyBorder="0" applyAlignment="0" applyProtection="0"/>
    <xf numFmtId="184" fontId="41" fillId="0" borderId="0" applyFont="0" applyFill="0" applyBorder="0" applyAlignment="0" applyProtection="0"/>
    <xf numFmtId="182" fontId="41" fillId="0" borderId="0" applyFont="0" applyFill="0" applyBorder="0" applyAlignment="0" applyProtection="0"/>
    <xf numFmtId="215" fontId="85" fillId="0" borderId="0" applyFont="0" applyFill="0" applyBorder="0" applyAlignment="0" applyProtection="0"/>
    <xf numFmtId="168"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170" fontId="6" fillId="0" borderId="0" applyFont="0" applyFill="0" applyBorder="0" applyAlignment="0" applyProtection="0"/>
    <xf numFmtId="170" fontId="7" fillId="0" borderId="0" applyFont="0" applyFill="0" applyBorder="0" applyAlignment="0" applyProtection="0"/>
    <xf numFmtId="170" fontId="6" fillId="0" borderId="0" applyFont="0" applyFill="0" applyBorder="0" applyAlignment="0" applyProtection="0"/>
    <xf numFmtId="170" fontId="12" fillId="0" borderId="0" applyFont="0" applyFill="0" applyBorder="0" applyAlignment="0" applyProtection="0"/>
    <xf numFmtId="168" fontId="12" fillId="0" borderId="0" applyFont="0" applyFill="0" applyBorder="0" applyAlignment="0" applyProtection="0"/>
    <xf numFmtId="170" fontId="12" fillId="0" borderId="0" applyFont="0" applyFill="0" applyBorder="0" applyAlignment="0" applyProtection="0"/>
    <xf numFmtId="170" fontId="61" fillId="0" borderId="0" applyFont="0" applyFill="0" applyBorder="0" applyAlignment="0" applyProtection="0"/>
    <xf numFmtId="22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89" fillId="0" borderId="0" applyFont="0" applyFill="0" applyBorder="0" applyAlignment="0" applyProtection="0"/>
    <xf numFmtId="220" fontId="6" fillId="0" borderId="0" applyFont="0" applyFill="0" applyBorder="0" applyAlignment="0" applyProtection="0"/>
    <xf numFmtId="220" fontId="6" fillId="0" borderId="0" applyFont="0" applyFill="0" applyBorder="0" applyAlignment="0" applyProtection="0"/>
    <xf numFmtId="220" fontId="6" fillId="0" borderId="0" applyFont="0" applyFill="0" applyBorder="0" applyAlignment="0" applyProtection="0"/>
    <xf numFmtId="220" fontId="6" fillId="0" borderId="0" applyFont="0" applyFill="0" applyBorder="0" applyAlignment="0" applyProtection="0"/>
    <xf numFmtId="220" fontId="6" fillId="0" borderId="0" applyFont="0" applyFill="0" applyBorder="0" applyAlignment="0" applyProtection="0"/>
    <xf numFmtId="220" fontId="6" fillId="0" borderId="0" applyFont="0" applyFill="0" applyBorder="0" applyAlignment="0" applyProtection="0"/>
    <xf numFmtId="220" fontId="6" fillId="0" borderId="0" applyFont="0" applyFill="0" applyBorder="0" applyAlignment="0" applyProtection="0"/>
    <xf numFmtId="220" fontId="6" fillId="0" borderId="0" applyFont="0" applyFill="0" applyBorder="0" applyAlignment="0" applyProtection="0"/>
    <xf numFmtId="220" fontId="6" fillId="0" borderId="0" applyFont="0" applyFill="0" applyBorder="0" applyAlignment="0" applyProtection="0"/>
    <xf numFmtId="220" fontId="6" fillId="0" borderId="0" applyFont="0" applyFill="0" applyBorder="0" applyAlignment="0" applyProtection="0"/>
    <xf numFmtId="170" fontId="12"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170" fontId="7" fillId="0" borderId="0" applyFont="0" applyFill="0" applyBorder="0" applyAlignment="0" applyProtection="0"/>
    <xf numFmtId="220" fontId="6" fillId="0" borderId="0" applyFont="0" applyFill="0" applyBorder="0" applyAlignment="0" applyProtection="0"/>
    <xf numFmtId="220" fontId="6" fillId="0" borderId="0" applyFont="0" applyFill="0" applyBorder="0" applyAlignment="0" applyProtection="0"/>
    <xf numFmtId="220" fontId="6" fillId="0" borderId="0" applyFont="0" applyFill="0" applyBorder="0" applyAlignment="0" applyProtection="0"/>
    <xf numFmtId="220" fontId="6" fillId="0" borderId="0" applyFont="0" applyFill="0" applyBorder="0" applyAlignment="0" applyProtection="0"/>
    <xf numFmtId="170" fontId="89" fillId="0" borderId="0" applyFont="0" applyFill="0" applyBorder="0" applyAlignment="0" applyProtection="0"/>
    <xf numFmtId="220" fontId="6" fillId="0" borderId="0" applyFont="0" applyFill="0" applyBorder="0" applyAlignment="0" applyProtection="0"/>
    <xf numFmtId="220" fontId="6" fillId="0" borderId="0" applyFont="0" applyFill="0" applyBorder="0" applyAlignment="0" applyProtection="0"/>
    <xf numFmtId="220" fontId="6" fillId="0" borderId="0" applyFont="0" applyFill="0" applyBorder="0" applyAlignment="0" applyProtection="0"/>
    <xf numFmtId="220" fontId="6" fillId="0" borderId="0" applyFont="0" applyFill="0" applyBorder="0" applyAlignment="0" applyProtection="0"/>
    <xf numFmtId="220" fontId="6" fillId="0" borderId="0" applyFont="0" applyFill="0" applyBorder="0" applyAlignment="0" applyProtection="0"/>
    <xf numFmtId="220" fontId="6" fillId="0" borderId="0" applyFont="0" applyFill="0" applyBorder="0" applyAlignment="0" applyProtection="0"/>
    <xf numFmtId="220"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203" fontId="6"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3"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85" fontId="12" fillId="0" borderId="0" applyFont="0" applyFill="0" applyBorder="0" applyAlignment="0" applyProtection="0"/>
    <xf numFmtId="174" fontId="41" fillId="0" borderId="0" applyFont="0" applyFill="0" applyBorder="0" applyAlignment="0" applyProtection="0"/>
    <xf numFmtId="221" fontId="41" fillId="0" borderId="0" applyFont="0" applyFill="0" applyBorder="0" applyAlignment="0" applyProtection="0"/>
    <xf numFmtId="221" fontId="41" fillId="0" borderId="0" applyFont="0" applyFill="0" applyBorder="0" applyAlignment="0" applyProtection="0"/>
    <xf numFmtId="221" fontId="41" fillId="0" borderId="0" applyFont="0" applyFill="0" applyBorder="0" applyAlignment="0" applyProtection="0"/>
    <xf numFmtId="170" fontId="6" fillId="0" borderId="0" applyFont="0" applyFill="0" applyBorder="0" applyAlignment="0" applyProtection="0"/>
    <xf numFmtId="175" fontId="41"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222" fontId="41" fillId="0" borderId="0" applyProtection="0"/>
    <xf numFmtId="170" fontId="6" fillId="0" borderId="0" applyFont="0" applyFill="0" applyBorder="0" applyAlignment="0" applyProtection="0"/>
    <xf numFmtId="170" fontId="6" fillId="0" borderId="0" applyFont="0" applyFill="0" applyBorder="0" applyAlignment="0" applyProtection="0"/>
    <xf numFmtId="179" fontId="6" fillId="0" borderId="0" applyFont="0" applyFill="0" applyBorder="0" applyAlignment="0" applyProtection="0"/>
    <xf numFmtId="0" fontId="6" fillId="0" borderId="0" applyFont="0" applyFill="0" applyBorder="0" applyAlignment="0" applyProtection="0"/>
    <xf numFmtId="168" fontId="73" fillId="0" borderId="0" applyFont="0" applyFill="0" applyBorder="0" applyAlignment="0" applyProtection="0"/>
    <xf numFmtId="223" fontId="41" fillId="0" borderId="0" applyProtection="0"/>
    <xf numFmtId="223" fontId="41" fillId="0" borderId="0" applyProtection="0"/>
    <xf numFmtId="170" fontId="6" fillId="0" borderId="0" applyFont="0" applyFill="0" applyBorder="0" applyAlignment="0" applyProtection="0"/>
    <xf numFmtId="223" fontId="41" fillId="0" borderId="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12" fillId="0" borderId="0" applyFont="0" applyFill="0" applyBorder="0" applyAlignment="0" applyProtection="0"/>
    <xf numFmtId="224" fontId="13" fillId="0" borderId="0" applyFont="0" applyFill="0" applyBorder="0" applyAlignment="0" applyProtection="0"/>
    <xf numFmtId="0" fontId="13"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168" fontId="12" fillId="0" borderId="0" applyFont="0" applyFill="0" applyBorder="0" applyAlignment="0" applyProtection="0"/>
    <xf numFmtId="223" fontId="41" fillId="0" borderId="0" applyProtection="0"/>
    <xf numFmtId="223" fontId="41" fillId="0" borderId="0" applyProtection="0"/>
    <xf numFmtId="170" fontId="7" fillId="0" borderId="0" applyFont="0" applyFill="0" applyBorder="0" applyAlignment="0" applyProtection="0"/>
    <xf numFmtId="43" fontId="5"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2" fontId="5" fillId="0" borderId="0" applyFont="0" applyFill="0" applyBorder="0" applyAlignment="0" applyProtection="0"/>
    <xf numFmtId="170" fontId="6" fillId="0" borderId="0" applyFont="0" applyFill="0" applyBorder="0" applyAlignment="0" applyProtection="0"/>
    <xf numFmtId="182" fontId="41" fillId="0" borderId="0" applyFont="0" applyFill="0" applyBorder="0" applyAlignment="0" applyProtection="0"/>
    <xf numFmtId="182" fontId="41" fillId="0" borderId="0" applyFont="0" applyFill="0" applyBorder="0" applyAlignment="0" applyProtection="0"/>
    <xf numFmtId="170" fontId="13" fillId="0" borderId="0" applyFont="0" applyFill="0" applyBorder="0" applyAlignment="0" applyProtection="0"/>
    <xf numFmtId="170" fontId="12" fillId="0" borderId="0" applyFont="0" applyFill="0" applyBorder="0" applyAlignment="0" applyProtection="0"/>
    <xf numFmtId="168" fontId="12" fillId="0" borderId="0" applyFont="0" applyFill="0" applyBorder="0" applyAlignment="0" applyProtection="0"/>
    <xf numFmtId="215" fontId="12" fillId="0" borderId="0" applyFont="0" applyFill="0" applyBorder="0" applyAlignment="0" applyProtection="0"/>
    <xf numFmtId="215" fontId="12" fillId="0" borderId="0" applyFont="0" applyFill="0" applyBorder="0" applyAlignment="0" applyProtection="0"/>
    <xf numFmtId="175" fontId="12" fillId="0" borderId="0" applyFont="0" applyFill="0" applyBorder="0" applyAlignment="0" applyProtection="0"/>
    <xf numFmtId="168" fontId="12" fillId="0" borderId="0" applyFont="0" applyFill="0" applyBorder="0" applyAlignment="0" applyProtection="0"/>
    <xf numFmtId="225" fontId="90" fillId="0" borderId="0"/>
    <xf numFmtId="3" fontId="6" fillId="0" borderId="0" applyFont="0" applyFill="0" applyBorder="0" applyAlignment="0" applyProtection="0"/>
    <xf numFmtId="3" fontId="41" fillId="0" borderId="0" applyProtection="0"/>
    <xf numFmtId="0" fontId="91" fillId="0" borderId="0">
      <alignment horizontal="center"/>
    </xf>
    <xf numFmtId="0" fontId="92" fillId="0" borderId="0" applyNumberFormat="0" applyAlignment="0">
      <alignment horizontal="left"/>
    </xf>
    <xf numFmtId="190" fontId="93" fillId="0" borderId="0" applyFont="0" applyFill="0" applyBorder="0" applyAlignment="0" applyProtection="0"/>
    <xf numFmtId="226" fontId="81" fillId="0" borderId="0" applyFont="0" applyFill="0" applyBorder="0" applyAlignment="0" applyProtection="0"/>
    <xf numFmtId="227" fontId="94" fillId="0" borderId="0" applyFont="0" applyFill="0" applyBorder="0" applyAlignment="0" applyProtection="0"/>
    <xf numFmtId="228" fontId="94" fillId="0" borderId="0" applyFont="0" applyFill="0" applyBorder="0" applyAlignment="0" applyProtection="0"/>
    <xf numFmtId="211" fontId="85" fillId="0" borderId="0" applyFont="0" applyFill="0" applyBorder="0" applyAlignment="0" applyProtection="0"/>
    <xf numFmtId="174" fontId="12" fillId="0" borderId="0" applyFont="0" applyFill="0" applyBorder="0" applyAlignment="0" applyProtection="0"/>
    <xf numFmtId="229" fontId="6" fillId="0" borderId="0" applyFont="0" applyFill="0" applyBorder="0" applyAlignment="0" applyProtection="0"/>
    <xf numFmtId="230" fontId="6" fillId="0" borderId="0" applyFont="0" applyFill="0" applyBorder="0" applyAlignment="0" applyProtection="0"/>
    <xf numFmtId="231" fontId="41" fillId="0" borderId="0" applyProtection="0"/>
    <xf numFmtId="232" fontId="90" fillId="0" borderId="0"/>
    <xf numFmtId="233" fontId="6" fillId="0" borderId="0" applyProtection="0"/>
    <xf numFmtId="234" fontId="13" fillId="0" borderId="10"/>
    <xf numFmtId="0" fontId="6" fillId="0" borderId="0" applyFont="0" applyFill="0" applyBorder="0" applyAlignment="0" applyProtection="0"/>
    <xf numFmtId="0" fontId="41" fillId="0" borderId="0" applyProtection="0"/>
    <xf numFmtId="14" fontId="53" fillId="0" borderId="0" applyFill="0" applyBorder="0" applyAlignment="0"/>
    <xf numFmtId="0" fontId="36" fillId="0" borderId="0" applyProtection="0"/>
    <xf numFmtId="3" fontId="95" fillId="0" borderId="3">
      <alignment horizontal="left" vertical="top" wrapText="1"/>
    </xf>
    <xf numFmtId="0" fontId="6" fillId="0" borderId="0" applyFont="0" applyFill="0" applyBorder="0" applyAlignment="0" applyProtection="0"/>
    <xf numFmtId="0" fontId="6" fillId="0" borderId="0" applyFont="0" applyFill="0" applyBorder="0" applyAlignment="0" applyProtection="0"/>
    <xf numFmtId="235" fontId="13" fillId="0" borderId="0"/>
    <xf numFmtId="236" fontId="42" fillId="0" borderId="2"/>
    <xf numFmtId="236" fontId="42" fillId="0" borderId="2"/>
    <xf numFmtId="237" fontId="90" fillId="0" borderId="0"/>
    <xf numFmtId="238" fontId="6" fillId="0" borderId="0" applyProtection="0"/>
    <xf numFmtId="239" fontId="42" fillId="0" borderId="0"/>
    <xf numFmtId="167" fontId="96" fillId="0" borderId="0" applyFont="0" applyFill="0" applyBorder="0" applyAlignment="0" applyProtection="0"/>
    <xf numFmtId="168" fontId="96" fillId="0" borderId="0" applyFont="0" applyFill="0" applyBorder="0" applyAlignment="0" applyProtection="0"/>
    <xf numFmtId="167" fontId="96" fillId="0" borderId="0" applyFont="0" applyFill="0" applyBorder="0" applyAlignment="0" applyProtection="0"/>
    <xf numFmtId="169" fontId="96" fillId="0" borderId="0" applyFont="0" applyFill="0" applyBorder="0" applyAlignment="0" applyProtection="0"/>
    <xf numFmtId="240" fontId="6" fillId="0" borderId="0" applyFont="0" applyFill="0" applyBorder="0" applyAlignment="0" applyProtection="0"/>
    <xf numFmtId="240" fontId="6" fillId="0" borderId="0" applyFont="0" applyFill="0" applyBorder="0" applyAlignment="0" applyProtection="0"/>
    <xf numFmtId="240" fontId="6" fillId="0" borderId="0" applyFont="0" applyFill="0" applyBorder="0" applyAlignment="0" applyProtection="0"/>
    <xf numFmtId="240" fontId="6" fillId="0" borderId="0" applyFont="0" applyFill="0" applyBorder="0" applyAlignment="0" applyProtection="0"/>
    <xf numFmtId="167" fontId="96" fillId="0" borderId="0" applyFont="0" applyFill="0" applyBorder="0" applyAlignment="0" applyProtection="0"/>
    <xf numFmtId="167" fontId="96" fillId="0" borderId="0" applyFont="0" applyFill="0" applyBorder="0" applyAlignment="0" applyProtection="0"/>
    <xf numFmtId="240" fontId="6" fillId="0" borderId="0" applyFont="0" applyFill="0" applyBorder="0" applyAlignment="0" applyProtection="0"/>
    <xf numFmtId="240" fontId="6"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2" fontId="13" fillId="0" borderId="0" applyFont="0" applyFill="0" applyBorder="0" applyAlignment="0" applyProtection="0"/>
    <xf numFmtId="242" fontId="13" fillId="0" borderId="0" applyFont="0" applyFill="0" applyBorder="0" applyAlignment="0" applyProtection="0"/>
    <xf numFmtId="169" fontId="96" fillId="0" borderId="0" applyFont="0" applyFill="0" applyBorder="0" applyAlignment="0" applyProtection="0"/>
    <xf numFmtId="169" fontId="96" fillId="0" borderId="0" applyFont="0" applyFill="0" applyBorder="0" applyAlignment="0" applyProtection="0"/>
    <xf numFmtId="169" fontId="96" fillId="0" borderId="0" applyFont="0" applyFill="0" applyBorder="0" applyAlignment="0" applyProtection="0"/>
    <xf numFmtId="169" fontId="96" fillId="0" borderId="0" applyFont="0" applyFill="0" applyBorder="0" applyAlignment="0" applyProtection="0"/>
    <xf numFmtId="169" fontId="96" fillId="0" borderId="0" applyFont="0" applyFill="0" applyBorder="0" applyAlignment="0" applyProtection="0"/>
    <xf numFmtId="169" fontId="96" fillId="0" borderId="0" applyFont="0" applyFill="0" applyBorder="0" applyAlignment="0" applyProtection="0"/>
    <xf numFmtId="41" fontId="96" fillId="0" borderId="0" applyFont="0" applyFill="0" applyBorder="0" applyAlignment="0" applyProtection="0"/>
    <xf numFmtId="41" fontId="96" fillId="0" borderId="0" applyFont="0" applyFill="0" applyBorder="0" applyAlignment="0" applyProtection="0"/>
    <xf numFmtId="168" fontId="96" fillId="0" borderId="0" applyFont="0" applyFill="0" applyBorder="0" applyAlignment="0" applyProtection="0"/>
    <xf numFmtId="170" fontId="96" fillId="0" borderId="0" applyFont="0" applyFill="0" applyBorder="0" applyAlignment="0" applyProtection="0"/>
    <xf numFmtId="243" fontId="6" fillId="0" borderId="0" applyFont="0" applyFill="0" applyBorder="0" applyAlignment="0" applyProtection="0"/>
    <xf numFmtId="243" fontId="6" fillId="0" borderId="0" applyFont="0" applyFill="0" applyBorder="0" applyAlignment="0" applyProtection="0"/>
    <xf numFmtId="243" fontId="6" fillId="0" borderId="0" applyFont="0" applyFill="0" applyBorder="0" applyAlignment="0" applyProtection="0"/>
    <xf numFmtId="243" fontId="6" fillId="0" borderId="0" applyFont="0" applyFill="0" applyBorder="0" applyAlignment="0" applyProtection="0"/>
    <xf numFmtId="168" fontId="96" fillId="0" borderId="0" applyFont="0" applyFill="0" applyBorder="0" applyAlignment="0" applyProtection="0"/>
    <xf numFmtId="168" fontId="96" fillId="0" borderId="0" applyFont="0" applyFill="0" applyBorder="0" applyAlignment="0" applyProtection="0"/>
    <xf numFmtId="243" fontId="6" fillId="0" borderId="0" applyFont="0" applyFill="0" applyBorder="0" applyAlignment="0" applyProtection="0"/>
    <xf numFmtId="243" fontId="6" fillId="0" borderId="0" applyFont="0" applyFill="0" applyBorder="0" applyAlignment="0" applyProtection="0"/>
    <xf numFmtId="222" fontId="13" fillId="0" borderId="0" applyFont="0" applyFill="0" applyBorder="0" applyAlignment="0" applyProtection="0"/>
    <xf numFmtId="222" fontId="13" fillId="0" borderId="0" applyFont="0" applyFill="0" applyBorder="0" applyAlignment="0" applyProtection="0"/>
    <xf numFmtId="244" fontId="13" fillId="0" borderId="0" applyFont="0" applyFill="0" applyBorder="0" applyAlignment="0" applyProtection="0"/>
    <xf numFmtId="244" fontId="13" fillId="0" borderId="0" applyFont="0" applyFill="0" applyBorder="0" applyAlignment="0" applyProtection="0"/>
    <xf numFmtId="170" fontId="96" fillId="0" borderId="0" applyFont="0" applyFill="0" applyBorder="0" applyAlignment="0" applyProtection="0"/>
    <xf numFmtId="170" fontId="96" fillId="0" borderId="0" applyFont="0" applyFill="0" applyBorder="0" applyAlignment="0" applyProtection="0"/>
    <xf numFmtId="170" fontId="96" fillId="0" borderId="0" applyFont="0" applyFill="0" applyBorder="0" applyAlignment="0" applyProtection="0"/>
    <xf numFmtId="170" fontId="96" fillId="0" borderId="0" applyFont="0" applyFill="0" applyBorder="0" applyAlignment="0" applyProtection="0"/>
    <xf numFmtId="170" fontId="96" fillId="0" borderId="0" applyFont="0" applyFill="0" applyBorder="0" applyAlignment="0" applyProtection="0"/>
    <xf numFmtId="170" fontId="96" fillId="0" borderId="0" applyFont="0" applyFill="0" applyBorder="0" applyAlignment="0" applyProtection="0"/>
    <xf numFmtId="43" fontId="96" fillId="0" borderId="0" applyFont="0" applyFill="0" applyBorder="0" applyAlignment="0" applyProtection="0"/>
    <xf numFmtId="43" fontId="96" fillId="0" borderId="0" applyFont="0" applyFill="0" applyBorder="0" applyAlignment="0" applyProtection="0"/>
    <xf numFmtId="3" fontId="13" fillId="0" borderId="0" applyFont="0" applyBorder="0" applyAlignment="0"/>
    <xf numFmtId="0" fontId="6" fillId="0" borderId="0" applyFill="0" applyBorder="0" applyAlignment="0"/>
    <xf numFmtId="211" fontId="85" fillId="0" borderId="0" applyFill="0" applyBorder="0" applyAlignment="0"/>
    <xf numFmtId="215" fontId="85" fillId="0" borderId="0" applyFill="0" applyBorder="0" applyAlignment="0"/>
    <xf numFmtId="216" fontId="85" fillId="0" borderId="0" applyFill="0" applyBorder="0" applyAlignment="0"/>
    <xf numFmtId="211" fontId="85" fillId="0" borderId="0" applyFill="0" applyBorder="0" applyAlignment="0"/>
    <xf numFmtId="0" fontId="97" fillId="0" borderId="0" applyNumberFormat="0" applyAlignment="0">
      <alignment horizontal="left"/>
    </xf>
    <xf numFmtId="0" fontId="98" fillId="0" borderId="0"/>
    <xf numFmtId="3" fontId="13" fillId="0" borderId="0" applyFont="0" applyBorder="0" applyAlignment="0"/>
    <xf numFmtId="0" fontId="6" fillId="0" borderId="0"/>
    <xf numFmtId="0" fontId="6" fillId="0" borderId="0"/>
    <xf numFmtId="0" fontId="6" fillId="0" borderId="0"/>
    <xf numFmtId="2" fontId="6" fillId="0" borderId="0" applyFont="0" applyFill="0" applyBorder="0" applyAlignment="0" applyProtection="0"/>
    <xf numFmtId="2" fontId="41" fillId="0" borderId="0" applyProtection="0"/>
    <xf numFmtId="0" fontId="99" fillId="0" borderId="0">
      <alignment vertical="top" wrapText="1"/>
    </xf>
    <xf numFmtId="38" fontId="100" fillId="3" borderId="0" applyNumberFormat="0" applyBorder="0" applyAlignment="0" applyProtection="0"/>
    <xf numFmtId="245" fontId="101" fillId="3" borderId="0" applyBorder="0" applyProtection="0"/>
    <xf numFmtId="0" fontId="102" fillId="0" borderId="11" applyNumberFormat="0" applyFill="0" applyBorder="0" applyAlignment="0" applyProtection="0">
      <alignment horizontal="center" vertical="center"/>
    </xf>
    <xf numFmtId="0" fontId="103" fillId="0" borderId="0" applyNumberFormat="0" applyFont="0" applyBorder="0" applyAlignment="0">
      <alignment horizontal="left" vertical="center"/>
    </xf>
    <xf numFmtId="246" fontId="81" fillId="0" borderId="0" applyFont="0" applyFill="0" applyBorder="0" applyAlignment="0" applyProtection="0"/>
    <xf numFmtId="0" fontId="104" fillId="5" borderId="0"/>
    <xf numFmtId="0" fontId="105" fillId="0" borderId="0">
      <alignment horizontal="left"/>
    </xf>
    <xf numFmtId="0" fontId="51" fillId="0" borderId="12" applyNumberFormat="0" applyAlignment="0" applyProtection="0">
      <alignment horizontal="left" vertical="center"/>
    </xf>
    <xf numFmtId="0" fontId="51" fillId="0" borderId="12" applyNumberFormat="0" applyAlignment="0" applyProtection="0">
      <alignment horizontal="left" vertical="center"/>
    </xf>
    <xf numFmtId="0" fontId="51" fillId="0" borderId="13">
      <alignment horizontal="left" vertical="center"/>
    </xf>
    <xf numFmtId="0" fontId="51" fillId="0" borderId="13">
      <alignment horizontal="left" vertical="center"/>
    </xf>
    <xf numFmtId="247" fontId="73" fillId="0" borderId="0">
      <protection locked="0"/>
    </xf>
    <xf numFmtId="247" fontId="73" fillId="0" borderId="0">
      <protection locked="0"/>
    </xf>
    <xf numFmtId="0" fontId="106" fillId="0" borderId="14">
      <alignment horizontal="center"/>
    </xf>
    <xf numFmtId="0" fontId="106" fillId="0" borderId="0">
      <alignment horizontal="center"/>
    </xf>
    <xf numFmtId="171" fontId="107" fillId="6" borderId="2" applyNumberFormat="0" applyAlignment="0">
      <alignment horizontal="left" vertical="top"/>
    </xf>
    <xf numFmtId="171" fontId="107" fillId="6" borderId="2" applyNumberFormat="0" applyAlignment="0">
      <alignment horizontal="left" vertical="top"/>
    </xf>
    <xf numFmtId="49" fontId="108" fillId="0" borderId="2">
      <alignment vertical="center"/>
    </xf>
    <xf numFmtId="49" fontId="108" fillId="0" borderId="2">
      <alignment vertical="center"/>
    </xf>
    <xf numFmtId="0" fontId="11" fillId="0" borderId="0"/>
    <xf numFmtId="167" fontId="13" fillId="0" borderId="0" applyFont="0" applyFill="0" applyBorder="0" applyAlignment="0" applyProtection="0"/>
    <xf numFmtId="38" fontId="55" fillId="0" borderId="0" applyFont="0" applyFill="0" applyBorder="0" applyAlignment="0" applyProtection="0"/>
    <xf numFmtId="169" fontId="43" fillId="0" borderId="0" applyFont="0" applyFill="0" applyBorder="0" applyAlignment="0" applyProtection="0"/>
    <xf numFmtId="248" fontId="109" fillId="0" borderId="0" applyFont="0" applyFill="0" applyBorder="0" applyAlignment="0" applyProtection="0"/>
    <xf numFmtId="10" fontId="100" fillId="7" borderId="2" applyNumberFormat="0" applyBorder="0" applyAlignment="0" applyProtection="0"/>
    <xf numFmtId="10" fontId="100" fillId="7" borderId="2" applyNumberFormat="0" applyBorder="0" applyAlignment="0" applyProtection="0"/>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167" fontId="13" fillId="0" borderId="0" applyFont="0" applyFill="0" applyBorder="0" applyAlignment="0" applyProtection="0"/>
    <xf numFmtId="0" fontId="13" fillId="0" borderId="0"/>
    <xf numFmtId="0" fontId="77" fillId="0" borderId="15">
      <alignment horizontal="centerContinuous"/>
    </xf>
    <xf numFmtId="0" fontId="6" fillId="0" borderId="0"/>
    <xf numFmtId="0" fontId="12" fillId="0" borderId="0"/>
    <xf numFmtId="0" fontId="11" fillId="0" borderId="0" applyNumberFormat="0" applyFont="0" applyFill="0" applyBorder="0" applyProtection="0">
      <alignment horizontal="left" vertical="center"/>
    </xf>
    <xf numFmtId="0" fontId="55" fillId="0" borderId="0"/>
    <xf numFmtId="0" fontId="6" fillId="0" borderId="0" applyFill="0" applyBorder="0" applyAlignment="0"/>
    <xf numFmtId="211" fontId="85" fillId="0" borderId="0" applyFill="0" applyBorder="0" applyAlignment="0"/>
    <xf numFmtId="215" fontId="85" fillId="0" borderId="0" applyFill="0" applyBorder="0" applyAlignment="0"/>
    <xf numFmtId="216" fontId="85" fillId="0" borderId="0" applyFill="0" applyBorder="0" applyAlignment="0"/>
    <xf numFmtId="211" fontId="85" fillId="0" borderId="0" applyFill="0" applyBorder="0" applyAlignment="0"/>
    <xf numFmtId="3" fontId="113" fillId="0" borderId="3" applyNumberFormat="0" applyAlignment="0">
      <alignment horizontal="center" vertical="center"/>
    </xf>
    <xf numFmtId="3" fontId="65" fillId="0" borderId="3" applyNumberFormat="0" applyAlignment="0">
      <alignment horizontal="center" vertical="center"/>
    </xf>
    <xf numFmtId="3" fontId="107" fillId="0" borderId="3" applyNumberFormat="0" applyAlignment="0">
      <alignment horizontal="center" vertical="center"/>
    </xf>
    <xf numFmtId="234" fontId="114" fillId="0" borderId="16" applyNumberFormat="0" applyFont="0" applyFill="0" applyBorder="0">
      <alignment horizontal="center"/>
    </xf>
    <xf numFmtId="234" fontId="114" fillId="0" borderId="16" applyNumberFormat="0" applyFont="0" applyFill="0" applyBorder="0">
      <alignment horizontal="center"/>
    </xf>
    <xf numFmtId="38" fontId="55" fillId="0" borderId="0" applyFont="0" applyFill="0" applyBorder="0" applyAlignment="0" applyProtection="0"/>
    <xf numFmtId="40" fontId="55" fillId="0" borderId="0" applyFont="0" applyFill="0" applyBorder="0" applyAlignment="0" applyProtection="0"/>
    <xf numFmtId="167" fontId="6" fillId="0" borderId="0" applyFont="0" applyFill="0" applyBorder="0" applyAlignment="0" applyProtection="0"/>
    <xf numFmtId="168" fontId="6" fillId="0" borderId="0" applyFont="0" applyFill="0" applyBorder="0" applyAlignment="0" applyProtection="0"/>
    <xf numFmtId="0" fontId="115" fillId="0" borderId="14"/>
    <xf numFmtId="166" fontId="6" fillId="0" borderId="16"/>
    <xf numFmtId="166" fontId="116" fillId="0" borderId="16"/>
    <xf numFmtId="249" fontId="73" fillId="0" borderId="0" applyFont="0" applyFill="0" applyBorder="0" applyAlignment="0" applyProtection="0"/>
    <xf numFmtId="250" fontId="73" fillId="0" borderId="0" applyFont="0" applyFill="0" applyBorder="0" applyAlignment="0" applyProtection="0"/>
    <xf numFmtId="251" fontId="6" fillId="0" borderId="0" applyFont="0" applyFill="0" applyBorder="0" applyAlignment="0" applyProtection="0"/>
    <xf numFmtId="252" fontId="6" fillId="0" borderId="0" applyFont="0" applyFill="0" applyBorder="0" applyAlignment="0" applyProtection="0"/>
    <xf numFmtId="0" fontId="36" fillId="0" borderId="0" applyNumberFormat="0" applyFont="0" applyFill="0" applyAlignment="0"/>
    <xf numFmtId="0" fontId="11" fillId="0" borderId="0"/>
    <xf numFmtId="0" fontId="42" fillId="0" borderId="17" applyNumberFormat="0" applyAlignment="0">
      <alignment horizontal="center"/>
    </xf>
    <xf numFmtId="37" fontId="117" fillId="0" borderId="0"/>
    <xf numFmtId="0" fontId="118" fillId="0" borderId="2" applyNumberFormat="0" applyFont="0" applyFill="0" applyBorder="0" applyAlignment="0">
      <alignment horizontal="center"/>
    </xf>
    <xf numFmtId="0" fontId="118" fillId="0" borderId="2" applyNumberFormat="0" applyFont="0" applyFill="0" applyBorder="0" applyAlignment="0">
      <alignment horizontal="center"/>
    </xf>
    <xf numFmtId="253" fontId="119" fillId="0" borderId="0"/>
    <xf numFmtId="0" fontId="120" fillId="0" borderId="0"/>
    <xf numFmtId="0" fontId="13" fillId="0" borderId="0"/>
    <xf numFmtId="0" fontId="12" fillId="0" borderId="0"/>
    <xf numFmtId="0" fontId="12" fillId="0" borderId="0"/>
    <xf numFmtId="0" fontId="61" fillId="0" borderId="0"/>
    <xf numFmtId="0" fontId="6" fillId="0" borderId="0"/>
    <xf numFmtId="0" fontId="121" fillId="0" borderId="0"/>
    <xf numFmtId="0" fontId="116" fillId="0" borderId="0"/>
    <xf numFmtId="0" fontId="6" fillId="0" borderId="0"/>
    <xf numFmtId="0" fontId="41" fillId="0" borderId="0"/>
    <xf numFmtId="0" fontId="6" fillId="0" borderId="0"/>
    <xf numFmtId="0" fontId="41" fillId="0" borderId="0"/>
    <xf numFmtId="0" fontId="41" fillId="0" borderId="0"/>
    <xf numFmtId="0" fontId="7" fillId="0" borderId="0"/>
    <xf numFmtId="0" fontId="7" fillId="0" borderId="0"/>
    <xf numFmtId="0" fontId="7" fillId="0" borderId="0"/>
    <xf numFmtId="0" fontId="7" fillId="0" borderId="0"/>
    <xf numFmtId="0" fontId="12" fillId="0" borderId="0"/>
    <xf numFmtId="0" fontId="12"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5" fillId="0" borderId="0"/>
    <xf numFmtId="0" fontId="12" fillId="0" borderId="0"/>
    <xf numFmtId="0" fontId="12" fillId="0" borderId="0"/>
    <xf numFmtId="0" fontId="12" fillId="0" borderId="0"/>
    <xf numFmtId="0" fontId="7" fillId="0" borderId="0"/>
    <xf numFmtId="0" fontId="7" fillId="0" borderId="0"/>
    <xf numFmtId="0" fontId="12" fillId="0" borderId="0"/>
    <xf numFmtId="0" fontId="122" fillId="0" borderId="0"/>
    <xf numFmtId="0" fontId="122" fillId="0" borderId="0"/>
    <xf numFmtId="0" fontId="122" fillId="0" borderId="0"/>
    <xf numFmtId="0" fontId="12" fillId="0" borderId="0"/>
    <xf numFmtId="0" fontId="12" fillId="0" borderId="0"/>
    <xf numFmtId="0" fontId="12" fillId="0" borderId="0"/>
    <xf numFmtId="0" fontId="123" fillId="0" borderId="0"/>
    <xf numFmtId="0" fontId="124" fillId="0" borderId="0"/>
    <xf numFmtId="0" fontId="12" fillId="0" borderId="0"/>
    <xf numFmtId="0" fontId="124" fillId="0" borderId="0"/>
    <xf numFmtId="0" fontId="12" fillId="0" borderId="0"/>
    <xf numFmtId="0" fontId="124" fillId="0" borderId="0"/>
    <xf numFmtId="0" fontId="7" fillId="0" borderId="0"/>
    <xf numFmtId="0" fontId="7" fillId="0" borderId="0"/>
    <xf numFmtId="0" fontId="7" fillId="0" borderId="0"/>
    <xf numFmtId="0" fontId="7" fillId="0" borderId="0"/>
    <xf numFmtId="0" fontId="12" fillId="0" borderId="0"/>
    <xf numFmtId="0" fontId="122" fillId="0" borderId="0"/>
    <xf numFmtId="0" fontId="41" fillId="0" borderId="0" applyProtection="0"/>
    <xf numFmtId="0" fontId="41" fillId="0" borderId="0" applyProtection="0"/>
    <xf numFmtId="0" fontId="41" fillId="0" borderId="0" applyProtection="0"/>
    <xf numFmtId="0" fontId="41" fillId="0" borderId="0" applyProtection="0"/>
    <xf numFmtId="0" fontId="41" fillId="0" borderId="0"/>
    <xf numFmtId="0" fontId="41" fillId="0" borderId="0" applyProtection="0"/>
    <xf numFmtId="0" fontId="41" fillId="0" borderId="0" applyProtection="0"/>
    <xf numFmtId="0" fontId="41" fillId="0" borderId="0" applyProtection="0"/>
    <xf numFmtId="0" fontId="125" fillId="0" borderId="0"/>
    <xf numFmtId="0" fontId="6" fillId="0" borderId="0"/>
    <xf numFmtId="0" fontId="36" fillId="0" borderId="0"/>
    <xf numFmtId="0" fontId="122" fillId="0" borderId="0"/>
    <xf numFmtId="0" fontId="6" fillId="0" borderId="0"/>
    <xf numFmtId="0" fontId="73" fillId="0" borderId="0"/>
    <xf numFmtId="0" fontId="73" fillId="0" borderId="0" applyProtection="0"/>
    <xf numFmtId="0" fontId="12" fillId="0" borderId="0" applyProtection="0"/>
    <xf numFmtId="0" fontId="116" fillId="0" borderId="0"/>
    <xf numFmtId="0" fontId="73" fillId="0" borderId="0" applyProtection="0"/>
    <xf numFmtId="0" fontId="6" fillId="0" borderId="0"/>
    <xf numFmtId="0" fontId="43"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12" fillId="0" borderId="0"/>
    <xf numFmtId="0" fontId="124" fillId="0" borderId="0"/>
    <xf numFmtId="0" fontId="6" fillId="0" borderId="0"/>
    <xf numFmtId="0" fontId="6" fillId="0" borderId="0"/>
    <xf numFmtId="0" fontId="6" fillId="0" borderId="0" applyProtection="0"/>
    <xf numFmtId="0" fontId="13" fillId="0" borderId="0"/>
    <xf numFmtId="0" fontId="37" fillId="0" borderId="0"/>
    <xf numFmtId="0" fontId="123" fillId="0" borderId="0"/>
    <xf numFmtId="0" fontId="13"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6" fillId="0" borderId="0"/>
    <xf numFmtId="0" fontId="6" fillId="0" borderId="0"/>
    <xf numFmtId="0" fontId="5" fillId="0" borderId="0"/>
    <xf numFmtId="0" fontId="6" fillId="0" borderId="0"/>
    <xf numFmtId="0" fontId="13" fillId="0" borderId="0"/>
    <xf numFmtId="0" fontId="60" fillId="0" borderId="0" applyFont="0"/>
    <xf numFmtId="0" fontId="96" fillId="0" borderId="0"/>
    <xf numFmtId="254" fontId="126" fillId="0" borderId="0" applyFont="0" applyFill="0" applyBorder="0" applyProtection="0">
      <alignment vertical="top" wrapText="1"/>
    </xf>
    <xf numFmtId="0" fontId="42" fillId="0" borderId="0"/>
    <xf numFmtId="0" fontId="42" fillId="0" borderId="0" applyProtection="0"/>
    <xf numFmtId="168" fontId="58" fillId="0" borderId="0" applyFont="0" applyFill="0" applyBorder="0" applyAlignment="0" applyProtection="0"/>
    <xf numFmtId="167" fontId="58" fillId="0" borderId="0" applyFont="0" applyFill="0" applyBorder="0" applyAlignment="0" applyProtection="0"/>
    <xf numFmtId="0" fontId="127" fillId="0" borderId="0" applyNumberFormat="0" applyFill="0" applyBorder="0" applyAlignment="0" applyProtection="0"/>
    <xf numFmtId="0" fontId="127" fillId="0" borderId="0" applyNumberFormat="0" applyFill="0" applyBorder="0" applyAlignment="0" applyProtection="0"/>
    <xf numFmtId="0" fontId="81" fillId="0" borderId="0" applyNumberFormat="0" applyFill="0" applyBorder="0" applyAlignment="0" applyProtection="0"/>
    <xf numFmtId="0" fontId="13" fillId="0" borderId="0" applyNumberFormat="0" applyFill="0" applyBorder="0" applyAlignment="0" applyProtection="0"/>
    <xf numFmtId="0" fontId="127" fillId="0" borderId="0" applyProtection="0"/>
    <xf numFmtId="0" fontId="6" fillId="0" borderId="0" applyFont="0" applyFill="0" applyBorder="0" applyAlignment="0" applyProtection="0"/>
    <xf numFmtId="0" fontId="11" fillId="0" borderId="0"/>
    <xf numFmtId="175" fontId="128" fillId="0" borderId="17" applyFont="0" applyBorder="0" applyAlignment="0"/>
    <xf numFmtId="169" fontId="6" fillId="0" borderId="0" applyFont="0" applyFill="0" applyBorder="0" applyAlignment="0" applyProtection="0"/>
    <xf numFmtId="14" fontId="77" fillId="0" borderId="0">
      <alignment horizontal="center" wrapText="1"/>
      <protection locked="0"/>
    </xf>
    <xf numFmtId="214" fontId="6" fillId="0" borderId="0" applyFont="0" applyFill="0" applyBorder="0" applyAlignment="0" applyProtection="0"/>
    <xf numFmtId="255" fontId="6" fillId="0" borderId="0" applyFont="0" applyFill="0" applyBorder="0" applyAlignment="0" applyProtection="0"/>
    <xf numFmtId="10" fontId="6" fillId="0" borderId="0" applyFont="0" applyFill="0" applyBorder="0" applyAlignment="0" applyProtection="0"/>
    <xf numFmtId="10" fontId="41" fillId="0" borderId="0" applyProtection="0"/>
    <xf numFmtId="9" fontId="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55" fillId="0" borderId="18" applyNumberFormat="0" applyBorder="0"/>
    <xf numFmtId="9" fontId="55" fillId="0" borderId="18" applyNumberFormat="0" applyBorder="0"/>
    <xf numFmtId="0" fontId="6" fillId="0" borderId="0" applyFill="0" applyBorder="0" applyAlignment="0"/>
    <xf numFmtId="211" fontId="85" fillId="0" borderId="0" applyFill="0" applyBorder="0" applyAlignment="0"/>
    <xf numFmtId="215" fontId="85" fillId="0" borderId="0" applyFill="0" applyBorder="0" applyAlignment="0"/>
    <xf numFmtId="216" fontId="85" fillId="0" borderId="0" applyFill="0" applyBorder="0" applyAlignment="0"/>
    <xf numFmtId="211" fontId="85" fillId="0" borderId="0" applyFill="0" applyBorder="0" applyAlignment="0"/>
    <xf numFmtId="0" fontId="129" fillId="0" borderId="0"/>
    <xf numFmtId="0" fontId="55" fillId="0" borderId="0" applyNumberFormat="0" applyFont="0" applyFill="0" applyBorder="0" applyAlignment="0" applyProtection="0">
      <alignment horizontal="left"/>
    </xf>
    <xf numFmtId="0" fontId="130" fillId="0" borderId="14">
      <alignment horizontal="center"/>
    </xf>
    <xf numFmtId="1" fontId="6" fillId="0" borderId="3" applyNumberFormat="0" applyFill="0" applyAlignment="0" applyProtection="0">
      <alignment horizontal="center" vertical="center"/>
    </xf>
    <xf numFmtId="0" fontId="131" fillId="8" borderId="0" applyNumberFormat="0" applyFont="0" applyBorder="0" applyAlignment="0">
      <alignment horizontal="center"/>
    </xf>
    <xf numFmtId="14" fontId="132" fillId="0" borderId="0" applyNumberFormat="0" applyFill="0" applyBorder="0" applyAlignment="0" applyProtection="0">
      <alignment horizontal="left"/>
    </xf>
    <xf numFmtId="0" fontId="111" fillId="0" borderId="0"/>
    <xf numFmtId="0" fontId="42" fillId="0" borderId="0"/>
    <xf numFmtId="169" fontId="43" fillId="0" borderId="0" applyFont="0" applyFill="0" applyBorder="0" applyAlignment="0" applyProtection="0"/>
    <xf numFmtId="0" fontId="13" fillId="0" borderId="0" applyNumberFormat="0" applyFill="0" applyBorder="0" applyAlignment="0" applyProtection="0"/>
    <xf numFmtId="0" fontId="13" fillId="0" borderId="0" applyProtection="0"/>
    <xf numFmtId="169" fontId="41" fillId="0" borderId="0" applyProtection="0"/>
    <xf numFmtId="4" fontId="133" fillId="9" borderId="19" applyNumberFormat="0" applyProtection="0">
      <alignment vertical="center"/>
    </xf>
    <xf numFmtId="4" fontId="134" fillId="9" borderId="19" applyNumberFormat="0" applyProtection="0">
      <alignment vertical="center"/>
    </xf>
    <xf numFmtId="4" fontId="135" fillId="9" borderId="19" applyNumberFormat="0" applyProtection="0">
      <alignment horizontal="left" vertical="center" indent="1"/>
    </xf>
    <xf numFmtId="4" fontId="135" fillId="10" borderId="0" applyNumberFormat="0" applyProtection="0">
      <alignment horizontal="left" vertical="center" indent="1"/>
    </xf>
    <xf numFmtId="4" fontId="135" fillId="11" borderId="19" applyNumberFormat="0" applyProtection="0">
      <alignment horizontal="right" vertical="center"/>
    </xf>
    <xf numFmtId="4" fontId="135" fillId="12" borderId="19" applyNumberFormat="0" applyProtection="0">
      <alignment horizontal="right" vertical="center"/>
    </xf>
    <xf numFmtId="4" fontId="135" fillId="13" borderId="19" applyNumberFormat="0" applyProtection="0">
      <alignment horizontal="right" vertical="center"/>
    </xf>
    <xf numFmtId="4" fontId="135" fillId="14" borderId="19" applyNumberFormat="0" applyProtection="0">
      <alignment horizontal="right" vertical="center"/>
    </xf>
    <xf numFmtId="4" fontId="135" fillId="15" borderId="19" applyNumberFormat="0" applyProtection="0">
      <alignment horizontal="right" vertical="center"/>
    </xf>
    <xf numFmtId="4" fontId="135" fillId="16" borderId="19" applyNumberFormat="0" applyProtection="0">
      <alignment horizontal="right" vertical="center"/>
    </xf>
    <xf numFmtId="4" fontId="135" fillId="17" borderId="19" applyNumberFormat="0" applyProtection="0">
      <alignment horizontal="right" vertical="center"/>
    </xf>
    <xf numFmtId="4" fontId="135" fillId="18" borderId="19" applyNumberFormat="0" applyProtection="0">
      <alignment horizontal="right" vertical="center"/>
    </xf>
    <xf numFmtId="4" fontId="135" fillId="19" borderId="19" applyNumberFormat="0" applyProtection="0">
      <alignment horizontal="right" vertical="center"/>
    </xf>
    <xf numFmtId="4" fontId="133" fillId="20" borderId="20" applyNumberFormat="0" applyProtection="0">
      <alignment horizontal="left" vertical="center" indent="1"/>
    </xf>
    <xf numFmtId="4" fontId="133" fillId="21" borderId="0" applyNumberFormat="0" applyProtection="0">
      <alignment horizontal="left" vertical="center" indent="1"/>
    </xf>
    <xf numFmtId="4" fontId="133" fillId="10" borderId="0" applyNumberFormat="0" applyProtection="0">
      <alignment horizontal="left" vertical="center" indent="1"/>
    </xf>
    <xf numFmtId="4" fontId="135" fillId="21" borderId="19" applyNumberFormat="0" applyProtection="0">
      <alignment horizontal="right" vertical="center"/>
    </xf>
    <xf numFmtId="4" fontId="53" fillId="21" borderId="0" applyNumberFormat="0" applyProtection="0">
      <alignment horizontal="left" vertical="center" indent="1"/>
    </xf>
    <xf numFmtId="4" fontId="53" fillId="10" borderId="0" applyNumberFormat="0" applyProtection="0">
      <alignment horizontal="left" vertical="center" indent="1"/>
    </xf>
    <xf numFmtId="4" fontId="135" fillId="22" borderId="19" applyNumberFormat="0" applyProtection="0">
      <alignment vertical="center"/>
    </xf>
    <xf numFmtId="4" fontId="136" fillId="22" borderId="19" applyNumberFormat="0" applyProtection="0">
      <alignment vertical="center"/>
    </xf>
    <xf numFmtId="4" fontId="133" fillId="21" borderId="21" applyNumberFormat="0" applyProtection="0">
      <alignment horizontal="left" vertical="center" indent="1"/>
    </xf>
    <xf numFmtId="4" fontId="135" fillId="22" borderId="19" applyNumberFormat="0" applyProtection="0">
      <alignment horizontal="right" vertical="center"/>
    </xf>
    <xf numFmtId="4" fontId="136" fillId="22" borderId="19" applyNumberFormat="0" applyProtection="0">
      <alignment horizontal="right" vertical="center"/>
    </xf>
    <xf numFmtId="4" fontId="133" fillId="21" borderId="19" applyNumberFormat="0" applyProtection="0">
      <alignment horizontal="left" vertical="center" indent="1"/>
    </xf>
    <xf numFmtId="4" fontId="137" fillId="6" borderId="21" applyNumberFormat="0" applyProtection="0">
      <alignment horizontal="left" vertical="center" indent="1"/>
    </xf>
    <xf numFmtId="4" fontId="138" fillId="22" borderId="19" applyNumberFormat="0" applyProtection="0">
      <alignment horizontal="right" vertical="center"/>
    </xf>
    <xf numFmtId="256" fontId="139" fillId="0" borderId="0" applyFont="0" applyFill="0" applyBorder="0" applyAlignment="0" applyProtection="0"/>
    <xf numFmtId="0" fontId="131" fillId="1" borderId="13" applyNumberFormat="0" applyFont="0" applyAlignment="0">
      <alignment horizontal="center"/>
    </xf>
    <xf numFmtId="0" fontId="131" fillId="1" borderId="13" applyNumberFormat="0" applyFont="0" applyAlignment="0">
      <alignment horizontal="center"/>
    </xf>
    <xf numFmtId="3" fontId="37" fillId="0" borderId="0"/>
    <xf numFmtId="0" fontId="140" fillId="0" borderId="0" applyNumberFormat="0" applyFill="0" applyBorder="0" applyAlignment="0">
      <alignment horizontal="center"/>
    </xf>
    <xf numFmtId="0" fontId="6" fillId="0" borderId="0"/>
    <xf numFmtId="175" fontId="141" fillId="0" borderId="0" applyNumberFormat="0" applyBorder="0" applyAlignment="0">
      <alignment horizontal="centerContinuous"/>
    </xf>
    <xf numFmtId="0" fontId="52" fillId="0" borderId="0"/>
    <xf numFmtId="0" fontId="52" fillId="0" borderId="0"/>
    <xf numFmtId="175" fontId="61" fillId="0" borderId="0" applyFont="0" applyFill="0" applyBorder="0" applyAlignment="0" applyProtection="0"/>
    <xf numFmtId="167" fontId="43" fillId="0" borderId="0" applyFont="0" applyFill="0" applyBorder="0" applyAlignment="0" applyProtection="0"/>
    <xf numFmtId="198" fontId="43" fillId="0" borderId="0" applyFont="0" applyFill="0" applyBorder="0" applyAlignment="0" applyProtection="0"/>
    <xf numFmtId="169" fontId="43" fillId="0" borderId="0" applyFont="0" applyFill="0" applyBorder="0" applyAlignment="0" applyProtection="0"/>
    <xf numFmtId="199" fontId="43" fillId="0" borderId="0" applyFont="0" applyFill="0" applyBorder="0" applyAlignment="0" applyProtection="0"/>
    <xf numFmtId="200" fontId="43" fillId="0" borderId="0" applyFont="0" applyFill="0" applyBorder="0" applyAlignment="0" applyProtection="0"/>
    <xf numFmtId="198" fontId="43" fillId="0" borderId="0" applyFont="0" applyFill="0" applyBorder="0" applyAlignment="0" applyProtection="0"/>
    <xf numFmtId="198" fontId="43" fillId="0" borderId="0" applyFont="0" applyFill="0" applyBorder="0" applyAlignment="0" applyProtection="0"/>
    <xf numFmtId="187" fontId="43"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67" fontId="13" fillId="0" borderId="0" applyFont="0" applyFill="0" applyBorder="0" applyAlignment="0" applyProtection="0"/>
    <xf numFmtId="188" fontId="43" fillId="0" borderId="0" applyFont="0" applyFill="0" applyBorder="0" applyAlignment="0" applyProtection="0"/>
    <xf numFmtId="188" fontId="43" fillId="0" borderId="0" applyFont="0" applyFill="0" applyBorder="0" applyAlignment="0" applyProtection="0"/>
    <xf numFmtId="173" fontId="43" fillId="0" borderId="0" applyFont="0" applyFill="0" applyBorder="0" applyAlignment="0" applyProtection="0"/>
    <xf numFmtId="173" fontId="43" fillId="0" borderId="0" applyFont="0" applyFill="0" applyBorder="0" applyAlignment="0" applyProtection="0"/>
    <xf numFmtId="189" fontId="43" fillId="0" borderId="0" applyFont="0" applyFill="0" applyBorder="0" applyAlignment="0" applyProtection="0"/>
    <xf numFmtId="189" fontId="43" fillId="0" borderId="0" applyFont="0" applyFill="0" applyBorder="0" applyAlignment="0" applyProtection="0"/>
    <xf numFmtId="173" fontId="43" fillId="0" borderId="0" applyFont="0" applyFill="0" applyBorder="0" applyAlignment="0" applyProtection="0"/>
    <xf numFmtId="189" fontId="43" fillId="0" borderId="0" applyFont="0" applyFill="0" applyBorder="0" applyAlignment="0" applyProtection="0"/>
    <xf numFmtId="173" fontId="43" fillId="0" borderId="0" applyFont="0" applyFill="0" applyBorder="0" applyAlignment="0" applyProtection="0"/>
    <xf numFmtId="189" fontId="43" fillId="0" borderId="0" applyFont="0" applyFill="0" applyBorder="0" applyAlignment="0" applyProtection="0"/>
    <xf numFmtId="167" fontId="13" fillId="0" borderId="0" applyFont="0" applyFill="0" applyBorder="0" applyAlignment="0" applyProtection="0"/>
    <xf numFmtId="182" fontId="43" fillId="0" borderId="0" applyFont="0" applyFill="0" applyBorder="0" applyAlignment="0" applyProtection="0"/>
    <xf numFmtId="195" fontId="43" fillId="0" borderId="0" applyFont="0" applyFill="0" applyBorder="0" applyAlignment="0" applyProtection="0"/>
    <xf numFmtId="195" fontId="43" fillId="0" borderId="0" applyFont="0" applyFill="0" applyBorder="0" applyAlignment="0" applyProtection="0"/>
    <xf numFmtId="195" fontId="43" fillId="0" borderId="0" applyFont="0" applyFill="0" applyBorder="0" applyAlignment="0" applyProtection="0"/>
    <xf numFmtId="182" fontId="37" fillId="0" borderId="0" applyFont="0" applyFill="0" applyBorder="0" applyAlignment="0" applyProtection="0"/>
    <xf numFmtId="195" fontId="43" fillId="0" borderId="0" applyFont="0" applyFill="0" applyBorder="0" applyAlignment="0" applyProtection="0"/>
    <xf numFmtId="182" fontId="43" fillId="0" borderId="0" applyFont="0" applyFill="0" applyBorder="0" applyAlignment="0" applyProtection="0"/>
    <xf numFmtId="196" fontId="43" fillId="0" borderId="0" applyFont="0" applyFill="0" applyBorder="0" applyAlignment="0" applyProtection="0"/>
    <xf numFmtId="189" fontId="43" fillId="0" borderId="0" applyFont="0" applyFill="0" applyBorder="0" applyAlignment="0" applyProtection="0"/>
    <xf numFmtId="189" fontId="43" fillId="0" borderId="0" applyFont="0" applyFill="0" applyBorder="0" applyAlignment="0" applyProtection="0"/>
    <xf numFmtId="167" fontId="13" fillId="0" borderId="0" applyFont="0" applyFill="0" applyBorder="0" applyAlignment="0" applyProtection="0"/>
    <xf numFmtId="173" fontId="43" fillId="0" borderId="0" applyFont="0" applyFill="0" applyBorder="0" applyAlignment="0" applyProtection="0"/>
    <xf numFmtId="0" fontId="42" fillId="0" borderId="0"/>
    <xf numFmtId="257" fontId="81" fillId="0" borderId="0" applyFont="0" applyFill="0" applyBorder="0" applyAlignment="0" applyProtection="0"/>
    <xf numFmtId="188" fontId="43" fillId="0" borderId="0" applyFont="0" applyFill="0" applyBorder="0" applyAlignment="0" applyProtection="0"/>
    <xf numFmtId="188" fontId="43" fillId="0" borderId="0" applyFont="0" applyFill="0" applyBorder="0" applyAlignment="0" applyProtection="0"/>
    <xf numFmtId="173" fontId="43" fillId="0" borderId="0" applyFont="0" applyFill="0" applyBorder="0" applyAlignment="0" applyProtection="0"/>
    <xf numFmtId="173" fontId="43" fillId="0" borderId="0" applyFont="0" applyFill="0" applyBorder="0" applyAlignment="0" applyProtection="0"/>
    <xf numFmtId="189" fontId="43" fillId="0" borderId="0" applyFont="0" applyFill="0" applyBorder="0" applyAlignment="0" applyProtection="0"/>
    <xf numFmtId="189" fontId="43" fillId="0" borderId="0" applyFont="0" applyFill="0" applyBorder="0" applyAlignment="0" applyProtection="0"/>
    <xf numFmtId="173" fontId="43" fillId="0" borderId="0" applyFont="0" applyFill="0" applyBorder="0" applyAlignment="0" applyProtection="0"/>
    <xf numFmtId="175" fontId="61" fillId="0" borderId="0" applyFont="0" applyFill="0" applyBorder="0" applyAlignment="0" applyProtection="0"/>
    <xf numFmtId="189" fontId="43" fillId="0" borderId="0" applyFont="0" applyFill="0" applyBorder="0" applyAlignment="0" applyProtection="0"/>
    <xf numFmtId="173" fontId="43" fillId="0" borderId="0" applyFont="0" applyFill="0" applyBorder="0" applyAlignment="0" applyProtection="0"/>
    <xf numFmtId="189" fontId="43" fillId="0" borderId="0" applyFont="0" applyFill="0" applyBorder="0" applyAlignment="0" applyProtection="0"/>
    <xf numFmtId="182" fontId="43" fillId="0" borderId="0" applyFont="0" applyFill="0" applyBorder="0" applyAlignment="0" applyProtection="0"/>
    <xf numFmtId="195" fontId="43" fillId="0" borderId="0" applyFont="0" applyFill="0" applyBorder="0" applyAlignment="0" applyProtection="0"/>
    <xf numFmtId="195" fontId="43" fillId="0" borderId="0" applyFont="0" applyFill="0" applyBorder="0" applyAlignment="0" applyProtection="0"/>
    <xf numFmtId="195" fontId="43" fillId="0" borderId="0" applyFont="0" applyFill="0" applyBorder="0" applyAlignment="0" applyProtection="0"/>
    <xf numFmtId="182" fontId="37" fillId="0" borderId="0" applyFont="0" applyFill="0" applyBorder="0" applyAlignment="0" applyProtection="0"/>
    <xf numFmtId="195" fontId="43" fillId="0" borderId="0" applyFont="0" applyFill="0" applyBorder="0" applyAlignment="0" applyProtection="0"/>
    <xf numFmtId="182" fontId="43" fillId="0" borderId="0" applyFont="0" applyFill="0" applyBorder="0" applyAlignment="0" applyProtection="0"/>
    <xf numFmtId="175" fontId="61" fillId="0" borderId="0" applyFont="0" applyFill="0" applyBorder="0" applyAlignment="0" applyProtection="0"/>
    <xf numFmtId="196" fontId="43" fillId="0" borderId="0" applyFont="0" applyFill="0" applyBorder="0" applyAlignment="0" applyProtection="0"/>
    <xf numFmtId="189" fontId="43" fillId="0" borderId="0" applyFont="0" applyFill="0" applyBorder="0" applyAlignment="0" applyProtection="0"/>
    <xf numFmtId="189" fontId="43" fillId="0" borderId="0" applyFont="0" applyFill="0" applyBorder="0" applyAlignment="0" applyProtection="0"/>
    <xf numFmtId="173" fontId="43" fillId="0" borderId="0" applyFont="0" applyFill="0" applyBorder="0" applyAlignment="0" applyProtection="0"/>
    <xf numFmtId="0" fontId="42" fillId="0" borderId="0"/>
    <xf numFmtId="257" fontId="81" fillId="0" borderId="0" applyFont="0" applyFill="0" applyBorder="0" applyAlignment="0" applyProtection="0"/>
    <xf numFmtId="169"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187" fontId="43" fillId="0" borderId="0" applyFont="0" applyFill="0" applyBorder="0" applyAlignment="0" applyProtection="0"/>
    <xf numFmtId="169"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169" fontId="43" fillId="0" borderId="0" applyFont="0" applyFill="0" applyBorder="0" applyAlignment="0" applyProtection="0"/>
    <xf numFmtId="169" fontId="43" fillId="0" borderId="0" applyFont="0" applyFill="0" applyBorder="0" applyAlignment="0" applyProtection="0"/>
    <xf numFmtId="173" fontId="43" fillId="0" borderId="0" applyFont="0" applyFill="0" applyBorder="0" applyAlignment="0" applyProtection="0"/>
    <xf numFmtId="195" fontId="43" fillId="0" borderId="0" applyFont="0" applyFill="0" applyBorder="0" applyAlignment="0" applyProtection="0"/>
    <xf numFmtId="182" fontId="37" fillId="0" borderId="0" applyFont="0" applyFill="0" applyBorder="0" applyAlignment="0" applyProtection="0"/>
    <xf numFmtId="182" fontId="43" fillId="0" borderId="0" applyFont="0" applyFill="0" applyBorder="0" applyAlignment="0" applyProtection="0"/>
    <xf numFmtId="0" fontId="42" fillId="0" borderId="0"/>
    <xf numFmtId="257" fontId="81" fillId="0" borderId="0" applyFont="0" applyFill="0" applyBorder="0" applyAlignment="0" applyProtection="0"/>
    <xf numFmtId="41" fontId="43" fillId="0" borderId="0" applyFont="0" applyFill="0" applyBorder="0" applyAlignment="0" applyProtection="0"/>
    <xf numFmtId="175" fontId="61"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5" fontId="61" fillId="0" borderId="0" applyFont="0" applyFill="0" applyBorder="0" applyAlignment="0" applyProtection="0"/>
    <xf numFmtId="175" fontId="61" fillId="0" borderId="0" applyFont="0" applyFill="0" applyBorder="0" applyAlignment="0" applyProtection="0"/>
    <xf numFmtId="187" fontId="43" fillId="0" borderId="0" applyFont="0" applyFill="0" applyBorder="0" applyAlignment="0" applyProtection="0"/>
    <xf numFmtId="167"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169"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9" fontId="43" fillId="0" borderId="0" applyFont="0" applyFill="0" applyBorder="0" applyAlignment="0" applyProtection="0"/>
    <xf numFmtId="41" fontId="43" fillId="0" borderId="0" applyFont="0" applyFill="0" applyBorder="0" applyAlignment="0" applyProtection="0"/>
    <xf numFmtId="41" fontId="43" fillId="0" borderId="0" applyFont="0" applyFill="0" applyBorder="0" applyAlignment="0" applyProtection="0"/>
    <xf numFmtId="187" fontId="43" fillId="0" borderId="0" applyFont="0" applyFill="0" applyBorder="0" applyAlignment="0" applyProtection="0"/>
    <xf numFmtId="167" fontId="43" fillId="0" borderId="0" applyFont="0" applyFill="0" applyBorder="0" applyAlignment="0" applyProtection="0"/>
    <xf numFmtId="187" fontId="43" fillId="0" borderId="0" applyFont="0" applyFill="0" applyBorder="0" applyAlignment="0" applyProtection="0"/>
    <xf numFmtId="167" fontId="43" fillId="0" borderId="0" applyFont="0" applyFill="0" applyBorder="0" applyAlignment="0" applyProtection="0"/>
    <xf numFmtId="187" fontId="43" fillId="0" borderId="0" applyFont="0" applyFill="0" applyBorder="0" applyAlignment="0" applyProtection="0"/>
    <xf numFmtId="187" fontId="43" fillId="0" borderId="0" applyFont="0" applyFill="0" applyBorder="0" applyAlignment="0" applyProtection="0"/>
    <xf numFmtId="41" fontId="43" fillId="0" borderId="0" applyFont="0" applyFill="0" applyBorder="0" applyAlignment="0" applyProtection="0"/>
    <xf numFmtId="169" fontId="43" fillId="0" borderId="0" applyFont="0" applyFill="0" applyBorder="0" applyAlignment="0" applyProtection="0"/>
    <xf numFmtId="167" fontId="43" fillId="0" borderId="0" applyFont="0" applyFill="0" applyBorder="0" applyAlignment="0" applyProtection="0"/>
    <xf numFmtId="187" fontId="43" fillId="0" borderId="0" applyFont="0" applyFill="0" applyBorder="0" applyAlignment="0" applyProtection="0"/>
    <xf numFmtId="169" fontId="43" fillId="0" borderId="0" applyFont="0" applyFill="0" applyBorder="0" applyAlignment="0" applyProtection="0"/>
    <xf numFmtId="187" fontId="43" fillId="0" borderId="0" applyFont="0" applyFill="0" applyBorder="0" applyAlignment="0" applyProtection="0"/>
    <xf numFmtId="169" fontId="43" fillId="0" borderId="0" applyFont="0" applyFill="0" applyBorder="0" applyAlignment="0" applyProtection="0"/>
    <xf numFmtId="41" fontId="43" fillId="0" borderId="0" applyFont="0" applyFill="0" applyBorder="0" applyAlignment="0" applyProtection="0"/>
    <xf numFmtId="167" fontId="43" fillId="0" borderId="0" applyFont="0" applyFill="0" applyBorder="0" applyAlignment="0" applyProtection="0"/>
    <xf numFmtId="169" fontId="43" fillId="0" borderId="0" applyFont="0" applyFill="0" applyBorder="0" applyAlignment="0" applyProtection="0"/>
    <xf numFmtId="199" fontId="43" fillId="0" borderId="0" applyFont="0" applyFill="0" applyBorder="0" applyAlignment="0" applyProtection="0"/>
    <xf numFmtId="200" fontId="43" fillId="0" borderId="0" applyFont="0" applyFill="0" applyBorder="0" applyAlignment="0" applyProtection="0"/>
    <xf numFmtId="169" fontId="43" fillId="0" borderId="0" applyFont="0" applyFill="0" applyBorder="0" applyAlignment="0" applyProtection="0"/>
    <xf numFmtId="173" fontId="43" fillId="0" borderId="0" applyFont="0" applyFill="0" applyBorder="0" applyAlignment="0" applyProtection="0"/>
    <xf numFmtId="173" fontId="43" fillId="0" borderId="0" applyFont="0" applyFill="0" applyBorder="0" applyAlignment="0" applyProtection="0"/>
    <xf numFmtId="182" fontId="43" fillId="0" borderId="0" applyFont="0" applyFill="0" applyBorder="0" applyAlignment="0" applyProtection="0"/>
    <xf numFmtId="195" fontId="43" fillId="0" borderId="0" applyFont="0" applyFill="0" applyBorder="0" applyAlignment="0" applyProtection="0"/>
    <xf numFmtId="182" fontId="37" fillId="0" borderId="0" applyFont="0" applyFill="0" applyBorder="0" applyAlignment="0" applyProtection="0"/>
    <xf numFmtId="41" fontId="43" fillId="0" borderId="0" applyFont="0" applyFill="0" applyBorder="0" applyAlignment="0" applyProtection="0"/>
    <xf numFmtId="195" fontId="43" fillId="0" borderId="0" applyFont="0" applyFill="0" applyBorder="0" applyAlignment="0" applyProtection="0"/>
    <xf numFmtId="182" fontId="43" fillId="0" borderId="0" applyFont="0" applyFill="0" applyBorder="0" applyAlignment="0" applyProtection="0"/>
    <xf numFmtId="196" fontId="43" fillId="0" borderId="0" applyFont="0" applyFill="0" applyBorder="0" applyAlignment="0" applyProtection="0"/>
    <xf numFmtId="0" fontId="42" fillId="0" borderId="0"/>
    <xf numFmtId="257" fontId="81" fillId="0" borderId="0" applyFont="0" applyFill="0" applyBorder="0" applyAlignment="0" applyProtection="0"/>
    <xf numFmtId="41" fontId="43" fillId="0" borderId="0" applyFont="0" applyFill="0" applyBorder="0" applyAlignment="0" applyProtection="0"/>
    <xf numFmtId="167" fontId="43" fillId="0" borderId="0" applyFont="0" applyFill="0" applyBorder="0" applyAlignment="0" applyProtection="0"/>
    <xf numFmtId="41" fontId="43" fillId="0" borderId="0" applyFont="0" applyFill="0" applyBorder="0" applyAlignment="0" applyProtection="0"/>
    <xf numFmtId="187" fontId="43" fillId="0" borderId="0" applyFont="0" applyFill="0" applyBorder="0" applyAlignment="0" applyProtection="0"/>
    <xf numFmtId="167" fontId="43" fillId="0" borderId="0" applyFont="0" applyFill="0" applyBorder="0" applyAlignment="0" applyProtection="0"/>
    <xf numFmtId="169"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87" fontId="43" fillId="0" borderId="0" applyFont="0" applyFill="0" applyBorder="0" applyAlignment="0" applyProtection="0"/>
    <xf numFmtId="187" fontId="43" fillId="0" borderId="0" applyFont="0" applyFill="0" applyBorder="0" applyAlignment="0" applyProtection="0"/>
    <xf numFmtId="187" fontId="43" fillId="0" borderId="0" applyFont="0" applyFill="0" applyBorder="0" applyAlignment="0" applyProtection="0"/>
    <xf numFmtId="187" fontId="43" fillId="0" borderId="0" applyFont="0" applyFill="0" applyBorder="0" applyAlignment="0" applyProtection="0"/>
    <xf numFmtId="198" fontId="43" fillId="0" borderId="0" applyFont="0" applyFill="0" applyBorder="0" applyAlignment="0" applyProtection="0"/>
    <xf numFmtId="41" fontId="43" fillId="0" borderId="0" applyFont="0" applyFill="0" applyBorder="0" applyAlignment="0" applyProtection="0"/>
    <xf numFmtId="169" fontId="43" fillId="0" borderId="0" applyFont="0" applyFill="0" applyBorder="0" applyAlignment="0" applyProtection="0"/>
    <xf numFmtId="167" fontId="43" fillId="0" borderId="0" applyFont="0" applyFill="0" applyBorder="0" applyAlignment="0" applyProtection="0"/>
    <xf numFmtId="169" fontId="43" fillId="0" borderId="0" applyFont="0" applyFill="0" applyBorder="0" applyAlignment="0" applyProtection="0"/>
    <xf numFmtId="167" fontId="43" fillId="0" borderId="0" applyFont="0" applyFill="0" applyBorder="0" applyAlignment="0" applyProtection="0"/>
    <xf numFmtId="187" fontId="43" fillId="0" borderId="0" applyFont="0" applyFill="0" applyBorder="0" applyAlignment="0" applyProtection="0"/>
    <xf numFmtId="167" fontId="43" fillId="0" borderId="0" applyFont="0" applyFill="0" applyBorder="0" applyAlignment="0" applyProtection="0"/>
    <xf numFmtId="169" fontId="43" fillId="0" borderId="0" applyFont="0" applyFill="0" applyBorder="0" applyAlignment="0" applyProtection="0"/>
    <xf numFmtId="167" fontId="43" fillId="0" borderId="0" applyFont="0" applyFill="0" applyBorder="0" applyAlignment="0" applyProtection="0"/>
    <xf numFmtId="198" fontId="43" fillId="0" borderId="0" applyFont="0" applyFill="0" applyBorder="0" applyAlignment="0" applyProtection="0"/>
    <xf numFmtId="41" fontId="43" fillId="0" borderId="0" applyFont="0" applyFill="0" applyBorder="0" applyAlignment="0" applyProtection="0"/>
    <xf numFmtId="198" fontId="43" fillId="0" borderId="0" applyFont="0" applyFill="0" applyBorder="0" applyAlignment="0" applyProtection="0"/>
    <xf numFmtId="187" fontId="43" fillId="0" borderId="0" applyFont="0" applyFill="0" applyBorder="0" applyAlignment="0" applyProtection="0"/>
    <xf numFmtId="169" fontId="43" fillId="0" borderId="0" applyFont="0" applyFill="0" applyBorder="0" applyAlignment="0" applyProtection="0"/>
    <xf numFmtId="14" fontId="142" fillId="0" borderId="0"/>
    <xf numFmtId="0" fontId="143" fillId="0" borderId="0"/>
    <xf numFmtId="0" fontId="115" fillId="0" borderId="0"/>
    <xf numFmtId="40" fontId="144" fillId="0" borderId="0" applyBorder="0">
      <alignment horizontal="right"/>
    </xf>
    <xf numFmtId="0" fontId="145" fillId="0" borderId="0"/>
    <xf numFmtId="258" fontId="81" fillId="0" borderId="22">
      <alignment horizontal="right" vertical="center"/>
    </xf>
    <xf numFmtId="258" fontId="81" fillId="0" borderId="22">
      <alignment horizontal="right" vertical="center"/>
    </xf>
    <xf numFmtId="166" fontId="146" fillId="0" borderId="22">
      <alignment horizontal="right" vertical="center"/>
    </xf>
    <xf numFmtId="166" fontId="146" fillId="0" borderId="22">
      <alignment horizontal="right" vertical="center"/>
    </xf>
    <xf numFmtId="164" fontId="73" fillId="0" borderId="22">
      <alignment horizontal="right" vertical="center"/>
    </xf>
    <xf numFmtId="164" fontId="73" fillId="0" borderId="22">
      <alignment horizontal="right" vertical="center"/>
    </xf>
    <xf numFmtId="164" fontId="73" fillId="0" borderId="22">
      <alignment horizontal="right" vertical="center"/>
    </xf>
    <xf numFmtId="164" fontId="73" fillId="0" borderId="22">
      <alignment horizontal="right" vertical="center"/>
    </xf>
    <xf numFmtId="164" fontId="73" fillId="0" borderId="22">
      <alignment horizontal="right" vertical="center"/>
    </xf>
    <xf numFmtId="164" fontId="73" fillId="0" borderId="22">
      <alignment horizontal="right" vertical="center"/>
    </xf>
    <xf numFmtId="166" fontId="146" fillId="0" borderId="22">
      <alignment horizontal="right" vertical="center"/>
    </xf>
    <xf numFmtId="166" fontId="146" fillId="0" borderId="22">
      <alignment horizontal="right" vertical="center"/>
    </xf>
    <xf numFmtId="166" fontId="146" fillId="0" borderId="22">
      <alignment horizontal="right" vertical="center"/>
    </xf>
    <xf numFmtId="166" fontId="146" fillId="0" borderId="22">
      <alignment horizontal="right" vertical="center"/>
    </xf>
    <xf numFmtId="166" fontId="146" fillId="0" borderId="22">
      <alignment horizontal="right" vertical="center"/>
    </xf>
    <xf numFmtId="166" fontId="146" fillId="0" borderId="22">
      <alignment horizontal="right" vertical="center"/>
    </xf>
    <xf numFmtId="166" fontId="146" fillId="0" borderId="22">
      <alignment horizontal="right" vertical="center"/>
    </xf>
    <xf numFmtId="166" fontId="146" fillId="0" borderId="22">
      <alignment horizontal="right" vertical="center"/>
    </xf>
    <xf numFmtId="166" fontId="146" fillId="0" borderId="22">
      <alignment horizontal="right" vertical="center"/>
    </xf>
    <xf numFmtId="166" fontId="146"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9" fontId="43" fillId="0" borderId="22">
      <alignment horizontal="right" vertical="center"/>
    </xf>
    <xf numFmtId="259" fontId="43"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164" fontId="73" fillId="0" borderId="22">
      <alignment horizontal="right" vertical="center"/>
    </xf>
    <xf numFmtId="164" fontId="73" fillId="0" borderId="22">
      <alignment horizontal="right" vertical="center"/>
    </xf>
    <xf numFmtId="164" fontId="73" fillId="0" borderId="22">
      <alignment horizontal="right" vertical="center"/>
    </xf>
    <xf numFmtId="164" fontId="73" fillId="0" borderId="22">
      <alignment horizontal="right" vertical="center"/>
    </xf>
    <xf numFmtId="164" fontId="73" fillId="0" borderId="22">
      <alignment horizontal="right" vertical="center"/>
    </xf>
    <xf numFmtId="164" fontId="73" fillId="0" borderId="22">
      <alignment horizontal="right" vertical="center"/>
    </xf>
    <xf numFmtId="164" fontId="73" fillId="0" borderId="22">
      <alignment horizontal="right" vertical="center"/>
    </xf>
    <xf numFmtId="164" fontId="73" fillId="0" borderId="22">
      <alignment horizontal="right" vertical="center"/>
    </xf>
    <xf numFmtId="164" fontId="73" fillId="0" borderId="22">
      <alignment horizontal="right" vertical="center"/>
    </xf>
    <xf numFmtId="164" fontId="73" fillId="0" borderId="22">
      <alignment horizontal="right" vertical="center"/>
    </xf>
    <xf numFmtId="164" fontId="73" fillId="0" borderId="22">
      <alignment horizontal="right" vertical="center"/>
    </xf>
    <xf numFmtId="164" fontId="73"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60" fontId="61" fillId="0" borderId="22">
      <alignment horizontal="right" vertical="center"/>
    </xf>
    <xf numFmtId="260" fontId="61" fillId="0" borderId="22">
      <alignment horizontal="right" vertical="center"/>
    </xf>
    <xf numFmtId="261" fontId="116" fillId="0" borderId="22">
      <alignment horizontal="right" vertical="center"/>
    </xf>
    <xf numFmtId="261" fontId="116" fillId="0" borderId="22">
      <alignment horizontal="right" vertical="center"/>
    </xf>
    <xf numFmtId="259" fontId="43" fillId="0" borderId="22">
      <alignment horizontal="right" vertical="center"/>
    </xf>
    <xf numFmtId="259" fontId="43" fillId="0" borderId="22">
      <alignment horizontal="right" vertical="center"/>
    </xf>
    <xf numFmtId="164" fontId="73" fillId="0" borderId="22">
      <alignment horizontal="right" vertical="center"/>
    </xf>
    <xf numFmtId="164" fontId="73" fillId="0" borderId="22">
      <alignment horizontal="right" vertical="center"/>
    </xf>
    <xf numFmtId="164" fontId="73" fillId="0" borderId="22">
      <alignment horizontal="right" vertical="center"/>
    </xf>
    <xf numFmtId="164" fontId="73" fillId="0" borderId="22">
      <alignment horizontal="right" vertical="center"/>
    </xf>
    <xf numFmtId="164" fontId="73" fillId="0" borderId="22">
      <alignment horizontal="right" vertical="center"/>
    </xf>
    <xf numFmtId="164" fontId="73" fillId="0" borderId="22">
      <alignment horizontal="right" vertical="center"/>
    </xf>
    <xf numFmtId="261" fontId="6" fillId="0" borderId="22">
      <alignment horizontal="right" vertical="center"/>
    </xf>
    <xf numFmtId="261" fontId="6" fillId="0" borderId="22">
      <alignment horizontal="right" vertical="center"/>
    </xf>
    <xf numFmtId="261" fontId="116" fillId="0" borderId="22">
      <alignment horizontal="right" vertical="center"/>
    </xf>
    <xf numFmtId="261" fontId="116" fillId="0" borderId="22">
      <alignment horizontal="right" vertical="center"/>
    </xf>
    <xf numFmtId="261" fontId="116" fillId="0" borderId="22">
      <alignment horizontal="right" vertical="center"/>
    </xf>
    <xf numFmtId="261" fontId="116" fillId="0" borderId="22">
      <alignment horizontal="right" vertical="center"/>
    </xf>
    <xf numFmtId="262" fontId="13" fillId="0" borderId="22">
      <alignment horizontal="right" vertical="center"/>
    </xf>
    <xf numFmtId="262" fontId="13" fillId="0" borderId="22">
      <alignment horizontal="right" vertical="center"/>
    </xf>
    <xf numFmtId="262" fontId="13" fillId="0" borderId="22">
      <alignment horizontal="right" vertical="center"/>
    </xf>
    <xf numFmtId="262" fontId="13" fillId="0" borderId="22">
      <alignment horizontal="right" vertical="center"/>
    </xf>
    <xf numFmtId="262" fontId="13" fillId="0" borderId="22">
      <alignment horizontal="right" vertical="center"/>
    </xf>
    <xf numFmtId="262" fontId="13" fillId="0" borderId="22">
      <alignment horizontal="right" vertical="center"/>
    </xf>
    <xf numFmtId="262" fontId="13" fillId="0" borderId="22">
      <alignment horizontal="right" vertical="center"/>
    </xf>
    <xf numFmtId="262" fontId="13" fillId="0" borderId="22">
      <alignment horizontal="right" vertical="center"/>
    </xf>
    <xf numFmtId="262" fontId="13" fillId="0" borderId="22">
      <alignment horizontal="right" vertical="center"/>
    </xf>
    <xf numFmtId="262" fontId="13" fillId="0" borderId="22">
      <alignment horizontal="right" vertical="center"/>
    </xf>
    <xf numFmtId="262" fontId="13" fillId="0" borderId="22">
      <alignment horizontal="right" vertical="center"/>
    </xf>
    <xf numFmtId="262" fontId="13" fillId="0" borderId="22">
      <alignment horizontal="right" vertical="center"/>
    </xf>
    <xf numFmtId="261" fontId="6" fillId="0" borderId="22">
      <alignment horizontal="right" vertical="center"/>
    </xf>
    <xf numFmtId="261" fontId="6" fillId="0" borderId="22">
      <alignment horizontal="right" vertical="center"/>
    </xf>
    <xf numFmtId="259" fontId="43" fillId="0" borderId="22">
      <alignment horizontal="right" vertical="center"/>
    </xf>
    <xf numFmtId="259" fontId="43" fillId="0" borderId="22">
      <alignment horizontal="right" vertical="center"/>
    </xf>
    <xf numFmtId="261" fontId="6" fillId="0" borderId="22">
      <alignment horizontal="right" vertical="center"/>
    </xf>
    <xf numFmtId="261" fontId="116" fillId="0" borderId="22">
      <alignment horizontal="right" vertical="center"/>
    </xf>
    <xf numFmtId="261" fontId="116" fillId="0" borderId="22">
      <alignment horizontal="right" vertical="center"/>
    </xf>
    <xf numFmtId="261" fontId="116" fillId="0" borderId="22">
      <alignment horizontal="right" vertical="center"/>
    </xf>
    <xf numFmtId="261" fontId="116" fillId="0" borderId="22">
      <alignment horizontal="right" vertical="center"/>
    </xf>
    <xf numFmtId="261" fontId="116" fillId="0" borderId="22">
      <alignment horizontal="right" vertical="center"/>
    </xf>
    <xf numFmtId="262" fontId="13" fillId="0" borderId="22">
      <alignment horizontal="right" vertical="center"/>
    </xf>
    <xf numFmtId="262" fontId="13" fillId="0" borderId="22">
      <alignment horizontal="right" vertical="center"/>
    </xf>
    <xf numFmtId="262" fontId="13" fillId="0" borderId="22">
      <alignment horizontal="right" vertical="center"/>
    </xf>
    <xf numFmtId="262" fontId="13" fillId="0" borderId="22">
      <alignment horizontal="right" vertical="center"/>
    </xf>
    <xf numFmtId="262" fontId="13" fillId="0" borderId="22">
      <alignment horizontal="right" vertical="center"/>
    </xf>
    <xf numFmtId="262" fontId="13" fillId="0" borderId="22">
      <alignment horizontal="right" vertical="center"/>
    </xf>
    <xf numFmtId="262" fontId="13" fillId="0" borderId="22">
      <alignment horizontal="right" vertical="center"/>
    </xf>
    <xf numFmtId="262" fontId="13" fillId="0" borderId="22">
      <alignment horizontal="right" vertical="center"/>
    </xf>
    <xf numFmtId="262" fontId="13" fillId="0" borderId="22">
      <alignment horizontal="right" vertical="center"/>
    </xf>
    <xf numFmtId="262" fontId="13" fillId="0" borderId="22">
      <alignment horizontal="right" vertical="center"/>
    </xf>
    <xf numFmtId="262" fontId="13" fillId="0" borderId="22">
      <alignment horizontal="right" vertical="center"/>
    </xf>
    <xf numFmtId="262" fontId="13" fillId="0" borderId="22">
      <alignment horizontal="right" vertical="center"/>
    </xf>
    <xf numFmtId="259" fontId="43" fillId="0" borderId="22">
      <alignment horizontal="right" vertical="center"/>
    </xf>
    <xf numFmtId="259" fontId="43" fillId="0" borderId="22">
      <alignment horizontal="right" vertical="center"/>
    </xf>
    <xf numFmtId="259" fontId="43" fillId="0" borderId="22">
      <alignment horizontal="right" vertical="center"/>
    </xf>
    <xf numFmtId="259" fontId="43" fillId="0" borderId="22">
      <alignment horizontal="right" vertical="center"/>
    </xf>
    <xf numFmtId="259" fontId="43" fillId="0" borderId="22">
      <alignment horizontal="right" vertical="center"/>
    </xf>
    <xf numFmtId="259" fontId="43" fillId="0" borderId="22">
      <alignment horizontal="right" vertical="center"/>
    </xf>
    <xf numFmtId="263" fontId="6" fillId="0" borderId="22">
      <alignment horizontal="right" vertical="center"/>
    </xf>
    <xf numFmtId="263" fontId="6" fillId="0" borderId="22">
      <alignment horizontal="right" vertical="center"/>
    </xf>
    <xf numFmtId="263" fontId="116" fillId="0" borderId="22">
      <alignment horizontal="right" vertical="center"/>
    </xf>
    <xf numFmtId="263" fontId="116" fillId="0" borderId="22">
      <alignment horizontal="right" vertical="center"/>
    </xf>
    <xf numFmtId="263" fontId="116" fillId="0" borderId="22">
      <alignment horizontal="right" vertical="center"/>
    </xf>
    <xf numFmtId="263" fontId="116"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60" fontId="61" fillId="0" borderId="22">
      <alignment horizontal="right" vertical="center"/>
    </xf>
    <xf numFmtId="260" fontId="61" fillId="0" borderId="22">
      <alignment horizontal="right" vertical="center"/>
    </xf>
    <xf numFmtId="260" fontId="61" fillId="0" borderId="22">
      <alignment horizontal="right" vertical="center"/>
    </xf>
    <xf numFmtId="260" fontId="61" fillId="0" borderId="22">
      <alignment horizontal="right" vertical="center"/>
    </xf>
    <xf numFmtId="263" fontId="6" fillId="0" borderId="22">
      <alignment horizontal="right" vertical="center"/>
    </xf>
    <xf numFmtId="263" fontId="6" fillId="0" borderId="22">
      <alignment horizontal="right" vertical="center"/>
    </xf>
    <xf numFmtId="263" fontId="116" fillId="0" borderId="22">
      <alignment horizontal="right" vertical="center"/>
    </xf>
    <xf numFmtId="263" fontId="116" fillId="0" borderId="22">
      <alignment horizontal="right" vertical="center"/>
    </xf>
    <xf numFmtId="263" fontId="116" fillId="0" borderId="22">
      <alignment horizontal="right" vertical="center"/>
    </xf>
    <xf numFmtId="263" fontId="116" fillId="0" borderId="22">
      <alignment horizontal="right" vertical="center"/>
    </xf>
    <xf numFmtId="260" fontId="61" fillId="0" borderId="22">
      <alignment horizontal="right" vertical="center"/>
    </xf>
    <xf numFmtId="260" fontId="61" fillId="0" borderId="22">
      <alignment horizontal="right" vertical="center"/>
    </xf>
    <xf numFmtId="260" fontId="61" fillId="0" borderId="22">
      <alignment horizontal="right" vertical="center"/>
    </xf>
    <xf numFmtId="260" fontId="61" fillId="0" borderId="22">
      <alignment horizontal="right" vertical="center"/>
    </xf>
    <xf numFmtId="260" fontId="61" fillId="0" borderId="22">
      <alignment horizontal="right" vertical="center"/>
    </xf>
    <xf numFmtId="260" fontId="61" fillId="0" borderId="22">
      <alignment horizontal="right" vertical="center"/>
    </xf>
    <xf numFmtId="260" fontId="61" fillId="0" borderId="22">
      <alignment horizontal="right" vertical="center"/>
    </xf>
    <xf numFmtId="260" fontId="61" fillId="0" borderId="22">
      <alignment horizontal="right" vertical="center"/>
    </xf>
    <xf numFmtId="259" fontId="43" fillId="0" borderId="22">
      <alignment horizontal="right" vertical="center"/>
    </xf>
    <xf numFmtId="259" fontId="43" fillId="0" borderId="22">
      <alignment horizontal="right" vertical="center"/>
    </xf>
    <xf numFmtId="263" fontId="6" fillId="0" borderId="22">
      <alignment horizontal="right" vertical="center"/>
    </xf>
    <xf numFmtId="263" fontId="116" fillId="0" borderId="22">
      <alignment horizontal="right" vertical="center"/>
    </xf>
    <xf numFmtId="263" fontId="116" fillId="0" borderId="22">
      <alignment horizontal="right" vertical="center"/>
    </xf>
    <xf numFmtId="263" fontId="116" fillId="0" borderId="22">
      <alignment horizontal="right" vertical="center"/>
    </xf>
    <xf numFmtId="263" fontId="6" fillId="0" borderId="22">
      <alignment horizontal="right" vertical="center"/>
    </xf>
    <xf numFmtId="263" fontId="6" fillId="0" borderId="22">
      <alignment horizontal="right" vertical="center"/>
    </xf>
    <xf numFmtId="263" fontId="116" fillId="0" borderId="22">
      <alignment horizontal="right" vertical="center"/>
    </xf>
    <xf numFmtId="263" fontId="116" fillId="0" borderId="22">
      <alignment horizontal="right" vertical="center"/>
    </xf>
    <xf numFmtId="259" fontId="43" fillId="0" borderId="22">
      <alignment horizontal="right" vertical="center"/>
    </xf>
    <xf numFmtId="259" fontId="43" fillId="0" borderId="22">
      <alignment horizontal="right" vertical="center"/>
    </xf>
    <xf numFmtId="259" fontId="43" fillId="0" borderId="22">
      <alignment horizontal="right" vertical="center"/>
    </xf>
    <xf numFmtId="259" fontId="43" fillId="0" borderId="22">
      <alignment horizontal="right" vertical="center"/>
    </xf>
    <xf numFmtId="259" fontId="43" fillId="0" borderId="22">
      <alignment horizontal="right" vertical="center"/>
    </xf>
    <xf numFmtId="259" fontId="43"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9" fontId="43" fillId="0" borderId="22">
      <alignment horizontal="right" vertical="center"/>
    </xf>
    <xf numFmtId="259" fontId="43" fillId="0" borderId="22">
      <alignment horizontal="right" vertical="center"/>
    </xf>
    <xf numFmtId="264" fontId="147" fillId="3" borderId="23" applyFont="0" applyFill="0" applyBorder="0"/>
    <xf numFmtId="264" fontId="147" fillId="3" borderId="23" applyFont="0" applyFill="0" applyBorder="0"/>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9" fontId="43" fillId="0" borderId="22">
      <alignment horizontal="right" vertical="center"/>
    </xf>
    <xf numFmtId="259" fontId="43"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64" fontId="147" fillId="3" borderId="23" applyFont="0" applyFill="0" applyBorder="0"/>
    <xf numFmtId="264" fontId="147" fillId="3" borderId="23" applyFont="0" applyFill="0" applyBorder="0"/>
    <xf numFmtId="261" fontId="116" fillId="0" borderId="22">
      <alignment horizontal="right" vertical="center"/>
    </xf>
    <xf numFmtId="261" fontId="116" fillId="0" borderId="22">
      <alignment horizontal="right" vertical="center"/>
    </xf>
    <xf numFmtId="263" fontId="6" fillId="0" borderId="22">
      <alignment horizontal="right" vertical="center"/>
    </xf>
    <xf numFmtId="263" fontId="116" fillId="0" borderId="22">
      <alignment horizontal="right" vertical="center"/>
    </xf>
    <xf numFmtId="263" fontId="116" fillId="0" borderId="22">
      <alignment horizontal="right" vertical="center"/>
    </xf>
    <xf numFmtId="263" fontId="116" fillId="0" borderId="22">
      <alignment horizontal="right" vertical="center"/>
    </xf>
    <xf numFmtId="263" fontId="116" fillId="0" borderId="22">
      <alignment horizontal="right" vertical="center"/>
    </xf>
    <xf numFmtId="263" fontId="116" fillId="0" borderId="22">
      <alignment horizontal="right" vertical="center"/>
    </xf>
    <xf numFmtId="262" fontId="13" fillId="0" borderId="22">
      <alignment horizontal="right" vertical="center"/>
    </xf>
    <xf numFmtId="262" fontId="13" fillId="0" borderId="22">
      <alignment horizontal="right" vertical="center"/>
    </xf>
    <xf numFmtId="262" fontId="13" fillId="0" borderId="22">
      <alignment horizontal="right" vertical="center"/>
    </xf>
    <xf numFmtId="262" fontId="13" fillId="0" borderId="22">
      <alignment horizontal="right" vertical="center"/>
    </xf>
    <xf numFmtId="262" fontId="13" fillId="0" borderId="22">
      <alignment horizontal="right" vertical="center"/>
    </xf>
    <xf numFmtId="262" fontId="13" fillId="0" borderId="22">
      <alignment horizontal="right" vertical="center"/>
    </xf>
    <xf numFmtId="262" fontId="13" fillId="0" borderId="22">
      <alignment horizontal="right" vertical="center"/>
    </xf>
    <xf numFmtId="262" fontId="13" fillId="0" borderId="22">
      <alignment horizontal="right" vertical="center"/>
    </xf>
    <xf numFmtId="262" fontId="13" fillId="0" borderId="22">
      <alignment horizontal="right" vertical="center"/>
    </xf>
    <xf numFmtId="262" fontId="13" fillId="0" borderId="22">
      <alignment horizontal="right" vertical="center"/>
    </xf>
    <xf numFmtId="262" fontId="13" fillId="0" borderId="22">
      <alignment horizontal="right" vertical="center"/>
    </xf>
    <xf numFmtId="262" fontId="13" fillId="0" borderId="22">
      <alignment horizontal="right" vertical="center"/>
    </xf>
    <xf numFmtId="263" fontId="6" fillId="0" borderId="22">
      <alignment horizontal="right" vertical="center"/>
    </xf>
    <xf numFmtId="263" fontId="116" fillId="0" borderId="22">
      <alignment horizontal="right" vertical="center"/>
    </xf>
    <xf numFmtId="263" fontId="116" fillId="0" borderId="22">
      <alignment horizontal="right" vertical="center"/>
    </xf>
    <xf numFmtId="263" fontId="116" fillId="0" borderId="22">
      <alignment horizontal="right" vertical="center"/>
    </xf>
    <xf numFmtId="263" fontId="116" fillId="0" borderId="22">
      <alignment horizontal="right" vertical="center"/>
    </xf>
    <xf numFmtId="263" fontId="116" fillId="0" borderId="22">
      <alignment horizontal="right" vertical="center"/>
    </xf>
    <xf numFmtId="263" fontId="6" fillId="0" borderId="22">
      <alignment horizontal="right" vertical="center"/>
    </xf>
    <xf numFmtId="263" fontId="116" fillId="0" borderId="22">
      <alignment horizontal="right" vertical="center"/>
    </xf>
    <xf numFmtId="263" fontId="116" fillId="0" borderId="22">
      <alignment horizontal="right" vertical="center"/>
    </xf>
    <xf numFmtId="263" fontId="116" fillId="0" borderId="22">
      <alignment horizontal="right" vertical="center"/>
    </xf>
    <xf numFmtId="263" fontId="6" fillId="0" borderId="22">
      <alignment horizontal="right" vertical="center"/>
    </xf>
    <xf numFmtId="263" fontId="6" fillId="0" borderId="22">
      <alignment horizontal="right" vertical="center"/>
    </xf>
    <xf numFmtId="263" fontId="116" fillId="0" borderId="22">
      <alignment horizontal="right" vertical="center"/>
    </xf>
    <xf numFmtId="263" fontId="116" fillId="0" borderId="22">
      <alignment horizontal="right" vertical="center"/>
    </xf>
    <xf numFmtId="263" fontId="6" fillId="0" borderId="22">
      <alignment horizontal="right" vertical="center"/>
    </xf>
    <xf numFmtId="263" fontId="116" fillId="0" borderId="22">
      <alignment horizontal="right" vertical="center"/>
    </xf>
    <xf numFmtId="263" fontId="116" fillId="0" borderId="22">
      <alignment horizontal="right" vertical="center"/>
    </xf>
    <xf numFmtId="263" fontId="116" fillId="0" borderId="22">
      <alignment horizontal="right" vertical="center"/>
    </xf>
    <xf numFmtId="263" fontId="6" fillId="0" borderId="22">
      <alignment horizontal="right" vertical="center"/>
    </xf>
    <xf numFmtId="263" fontId="6" fillId="0" borderId="22">
      <alignment horizontal="right" vertical="center"/>
    </xf>
    <xf numFmtId="263" fontId="116" fillId="0" borderId="22">
      <alignment horizontal="right" vertical="center"/>
    </xf>
    <xf numFmtId="263" fontId="116" fillId="0" borderId="22">
      <alignment horizontal="right" vertical="center"/>
    </xf>
    <xf numFmtId="259" fontId="43" fillId="0" borderId="22">
      <alignment horizontal="right" vertical="center"/>
    </xf>
    <xf numFmtId="259" fontId="43" fillId="0" borderId="22">
      <alignment horizontal="right" vertical="center"/>
    </xf>
    <xf numFmtId="263" fontId="6" fillId="0" borderId="22">
      <alignment horizontal="right" vertical="center"/>
    </xf>
    <xf numFmtId="263" fontId="116" fillId="0" borderId="22">
      <alignment horizontal="right" vertical="center"/>
    </xf>
    <xf numFmtId="263" fontId="116" fillId="0" borderId="22">
      <alignment horizontal="right" vertical="center"/>
    </xf>
    <xf numFmtId="263" fontId="116" fillId="0" borderId="22">
      <alignment horizontal="right" vertical="center"/>
    </xf>
    <xf numFmtId="263" fontId="6" fillId="0" borderId="22">
      <alignment horizontal="right" vertical="center"/>
    </xf>
    <xf numFmtId="263" fontId="6" fillId="0" borderId="22">
      <alignment horizontal="right" vertical="center"/>
    </xf>
    <xf numFmtId="263" fontId="116" fillId="0" borderId="22">
      <alignment horizontal="right" vertical="center"/>
    </xf>
    <xf numFmtId="263" fontId="116" fillId="0" borderId="22">
      <alignment horizontal="right" vertical="center"/>
    </xf>
    <xf numFmtId="262" fontId="13" fillId="0" borderId="22">
      <alignment horizontal="right" vertical="center"/>
    </xf>
    <xf numFmtId="262" fontId="13" fillId="0" borderId="22">
      <alignment horizontal="right" vertical="center"/>
    </xf>
    <xf numFmtId="262" fontId="13" fillId="0" borderId="22">
      <alignment horizontal="right" vertical="center"/>
    </xf>
    <xf numFmtId="262" fontId="13" fillId="0" borderId="22">
      <alignment horizontal="right" vertical="center"/>
    </xf>
    <xf numFmtId="262" fontId="13" fillId="0" borderId="22">
      <alignment horizontal="right" vertical="center"/>
    </xf>
    <xf numFmtId="262" fontId="13" fillId="0" borderId="22">
      <alignment horizontal="right" vertical="center"/>
    </xf>
    <xf numFmtId="262" fontId="13" fillId="0" borderId="22">
      <alignment horizontal="right" vertical="center"/>
    </xf>
    <xf numFmtId="262" fontId="13" fillId="0" borderId="22">
      <alignment horizontal="right" vertical="center"/>
    </xf>
    <xf numFmtId="262" fontId="13" fillId="0" borderId="22">
      <alignment horizontal="right" vertical="center"/>
    </xf>
    <xf numFmtId="262" fontId="13" fillId="0" borderId="22">
      <alignment horizontal="right" vertical="center"/>
    </xf>
    <xf numFmtId="262" fontId="13" fillId="0" borderId="22">
      <alignment horizontal="right" vertical="center"/>
    </xf>
    <xf numFmtId="262" fontId="13" fillId="0" borderId="22">
      <alignment horizontal="right" vertical="center"/>
    </xf>
    <xf numFmtId="261" fontId="6" fillId="0" borderId="22">
      <alignment horizontal="right" vertical="center"/>
    </xf>
    <xf numFmtId="261" fontId="6" fillId="0" borderId="22">
      <alignment horizontal="right" vertical="center"/>
    </xf>
    <xf numFmtId="164" fontId="73" fillId="0" borderId="22">
      <alignment horizontal="right" vertical="center"/>
    </xf>
    <xf numFmtId="164" fontId="73" fillId="0" borderId="22">
      <alignment horizontal="right" vertical="center"/>
    </xf>
    <xf numFmtId="164" fontId="73" fillId="0" borderId="22">
      <alignment horizontal="right" vertical="center"/>
    </xf>
    <xf numFmtId="164" fontId="73" fillId="0" borderId="22">
      <alignment horizontal="right" vertical="center"/>
    </xf>
    <xf numFmtId="164" fontId="73" fillId="0" borderId="22">
      <alignment horizontal="right" vertical="center"/>
    </xf>
    <xf numFmtId="164" fontId="73" fillId="0" borderId="22">
      <alignment horizontal="right" vertical="center"/>
    </xf>
    <xf numFmtId="164" fontId="73" fillId="0" borderId="22">
      <alignment horizontal="right" vertical="center"/>
    </xf>
    <xf numFmtId="164" fontId="73" fillId="0" borderId="22">
      <alignment horizontal="right" vertical="center"/>
    </xf>
    <xf numFmtId="164" fontId="73" fillId="0" borderId="22">
      <alignment horizontal="right" vertical="center"/>
    </xf>
    <xf numFmtId="164" fontId="73" fillId="0" borderId="22">
      <alignment horizontal="right" vertical="center"/>
    </xf>
    <xf numFmtId="164" fontId="73" fillId="0" borderId="22">
      <alignment horizontal="right" vertical="center"/>
    </xf>
    <xf numFmtId="164" fontId="73" fillId="0" borderId="22">
      <alignment horizontal="right" vertical="center"/>
    </xf>
    <xf numFmtId="265" fontId="13" fillId="0" borderId="22">
      <alignment horizontal="right" vertical="center"/>
    </xf>
    <xf numFmtId="265" fontId="13" fillId="0" borderId="22">
      <alignment horizontal="right" vertical="center"/>
    </xf>
    <xf numFmtId="265" fontId="13" fillId="0" borderId="22">
      <alignment horizontal="right" vertical="center"/>
    </xf>
    <xf numFmtId="265" fontId="13" fillId="0" borderId="22">
      <alignment horizontal="right" vertical="center"/>
    </xf>
    <xf numFmtId="265" fontId="13" fillId="0" borderId="22">
      <alignment horizontal="right" vertical="center"/>
    </xf>
    <xf numFmtId="265" fontId="13" fillId="0" borderId="22">
      <alignment horizontal="right" vertical="center"/>
    </xf>
    <xf numFmtId="265" fontId="13" fillId="0" borderId="22">
      <alignment horizontal="right" vertical="center"/>
    </xf>
    <xf numFmtId="265" fontId="13" fillId="0" borderId="22">
      <alignment horizontal="right" vertical="center"/>
    </xf>
    <xf numFmtId="265" fontId="13" fillId="0" borderId="22">
      <alignment horizontal="right" vertical="center"/>
    </xf>
    <xf numFmtId="265" fontId="13" fillId="0" borderId="22">
      <alignment horizontal="right" vertical="center"/>
    </xf>
    <xf numFmtId="265" fontId="13" fillId="0" borderId="22">
      <alignment horizontal="right" vertical="center"/>
    </xf>
    <xf numFmtId="265" fontId="13" fillId="0" borderId="22">
      <alignment horizontal="right" vertical="center"/>
    </xf>
    <xf numFmtId="164" fontId="73" fillId="0" borderId="22">
      <alignment horizontal="right" vertical="center"/>
    </xf>
    <xf numFmtId="164" fontId="73" fillId="0" borderId="22">
      <alignment horizontal="right" vertical="center"/>
    </xf>
    <xf numFmtId="164" fontId="73" fillId="0" borderId="22">
      <alignment horizontal="right" vertical="center"/>
    </xf>
    <xf numFmtId="164" fontId="73" fillId="0" borderId="22">
      <alignment horizontal="right" vertical="center"/>
    </xf>
    <xf numFmtId="164" fontId="73" fillId="0" borderId="22">
      <alignment horizontal="right" vertical="center"/>
    </xf>
    <xf numFmtId="164" fontId="73" fillId="0" borderId="22">
      <alignment horizontal="right" vertical="center"/>
    </xf>
    <xf numFmtId="164" fontId="73" fillId="0" borderId="22">
      <alignment horizontal="right" vertical="center"/>
    </xf>
    <xf numFmtId="164" fontId="73" fillId="0" borderId="22">
      <alignment horizontal="right" vertical="center"/>
    </xf>
    <xf numFmtId="164" fontId="73" fillId="0" borderId="22">
      <alignment horizontal="right" vertical="center"/>
    </xf>
    <xf numFmtId="164" fontId="73" fillId="0" borderId="22">
      <alignment horizontal="right" vertical="center"/>
    </xf>
    <xf numFmtId="164" fontId="73" fillId="0" borderId="22">
      <alignment horizontal="right" vertical="center"/>
    </xf>
    <xf numFmtId="164" fontId="73" fillId="0" borderId="22">
      <alignment horizontal="right" vertical="center"/>
    </xf>
    <xf numFmtId="164" fontId="73" fillId="0" borderId="22">
      <alignment horizontal="right" vertical="center"/>
    </xf>
    <xf numFmtId="164" fontId="73" fillId="0" borderId="22">
      <alignment horizontal="right" vertical="center"/>
    </xf>
    <xf numFmtId="164" fontId="73" fillId="0" borderId="22">
      <alignment horizontal="right" vertical="center"/>
    </xf>
    <xf numFmtId="164" fontId="73" fillId="0" borderId="22">
      <alignment horizontal="right" vertical="center"/>
    </xf>
    <xf numFmtId="164" fontId="73" fillId="0" borderId="22">
      <alignment horizontal="right" vertical="center"/>
    </xf>
    <xf numFmtId="164" fontId="73" fillId="0" borderId="22">
      <alignment horizontal="right" vertical="center"/>
    </xf>
    <xf numFmtId="164" fontId="73" fillId="0" borderId="22">
      <alignment horizontal="right" vertical="center"/>
    </xf>
    <xf numFmtId="164" fontId="73" fillId="0" borderId="22">
      <alignment horizontal="right" vertical="center"/>
    </xf>
    <xf numFmtId="164" fontId="73" fillId="0" borderId="22">
      <alignment horizontal="right" vertical="center"/>
    </xf>
    <xf numFmtId="164" fontId="73" fillId="0" borderId="22">
      <alignment horizontal="right" vertical="center"/>
    </xf>
    <xf numFmtId="164" fontId="73" fillId="0" borderId="22">
      <alignment horizontal="right" vertical="center"/>
    </xf>
    <xf numFmtId="164" fontId="73" fillId="0" borderId="22">
      <alignment horizontal="right" vertical="center"/>
    </xf>
    <xf numFmtId="164" fontId="73" fillId="0" borderId="22">
      <alignment horizontal="right" vertical="center"/>
    </xf>
    <xf numFmtId="164" fontId="73" fillId="0" borderId="22">
      <alignment horizontal="right" vertical="center"/>
    </xf>
    <xf numFmtId="164" fontId="73" fillId="0" borderId="22">
      <alignment horizontal="right" vertical="center"/>
    </xf>
    <xf numFmtId="164" fontId="73" fillId="0" borderId="22">
      <alignment horizontal="right" vertical="center"/>
    </xf>
    <xf numFmtId="164" fontId="73" fillId="0" borderId="22">
      <alignment horizontal="right" vertical="center"/>
    </xf>
    <xf numFmtId="164" fontId="73" fillId="0" borderId="22">
      <alignment horizontal="right" vertical="center"/>
    </xf>
    <xf numFmtId="164" fontId="73" fillId="0" borderId="22">
      <alignment horizontal="right" vertical="center"/>
    </xf>
    <xf numFmtId="164" fontId="73" fillId="0" borderId="22">
      <alignment horizontal="right" vertical="center"/>
    </xf>
    <xf numFmtId="164" fontId="73" fillId="0" borderId="22">
      <alignment horizontal="right" vertical="center"/>
    </xf>
    <xf numFmtId="164" fontId="73" fillId="0" borderId="22">
      <alignment horizontal="right" vertical="center"/>
    </xf>
    <xf numFmtId="164" fontId="73" fillId="0" borderId="22">
      <alignment horizontal="right" vertical="center"/>
    </xf>
    <xf numFmtId="164" fontId="73" fillId="0" borderId="22">
      <alignment horizontal="right" vertical="center"/>
    </xf>
    <xf numFmtId="164" fontId="73" fillId="0" borderId="22">
      <alignment horizontal="right" vertical="center"/>
    </xf>
    <xf numFmtId="164" fontId="73" fillId="0" borderId="22">
      <alignment horizontal="right" vertical="center"/>
    </xf>
    <xf numFmtId="164" fontId="73" fillId="0" borderId="22">
      <alignment horizontal="right" vertical="center"/>
    </xf>
    <xf numFmtId="164" fontId="73" fillId="0" borderId="22">
      <alignment horizontal="right" vertical="center"/>
    </xf>
    <xf numFmtId="164" fontId="73" fillId="0" borderId="22">
      <alignment horizontal="right" vertical="center"/>
    </xf>
    <xf numFmtId="164" fontId="73"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66" fontId="13" fillId="0" borderId="22">
      <alignment horizontal="right" vertical="center"/>
    </xf>
    <xf numFmtId="266" fontId="13" fillId="0" borderId="22">
      <alignment horizontal="right" vertical="center"/>
    </xf>
    <xf numFmtId="266" fontId="13" fillId="0" borderId="22">
      <alignment horizontal="right" vertical="center"/>
    </xf>
    <xf numFmtId="266" fontId="13" fillId="0" borderId="22">
      <alignment horizontal="right" vertical="center"/>
    </xf>
    <xf numFmtId="266" fontId="13" fillId="0" borderId="22">
      <alignment horizontal="right" vertical="center"/>
    </xf>
    <xf numFmtId="266" fontId="13" fillId="0" borderId="22">
      <alignment horizontal="right" vertical="center"/>
    </xf>
    <xf numFmtId="164" fontId="73" fillId="0" borderId="22">
      <alignment horizontal="right" vertical="center"/>
    </xf>
    <xf numFmtId="164" fontId="73" fillId="0" borderId="22">
      <alignment horizontal="right" vertical="center"/>
    </xf>
    <xf numFmtId="164" fontId="73" fillId="0" borderId="22">
      <alignment horizontal="right" vertical="center"/>
    </xf>
    <xf numFmtId="164" fontId="73" fillId="0" borderId="22">
      <alignment horizontal="right" vertical="center"/>
    </xf>
    <xf numFmtId="164" fontId="73" fillId="0" borderId="22">
      <alignment horizontal="right" vertical="center"/>
    </xf>
    <xf numFmtId="164" fontId="73" fillId="0" borderId="22">
      <alignment horizontal="right" vertical="center"/>
    </xf>
    <xf numFmtId="164" fontId="73" fillId="0" borderId="22">
      <alignment horizontal="right" vertical="center"/>
    </xf>
    <xf numFmtId="164" fontId="73" fillId="0" borderId="22">
      <alignment horizontal="right" vertical="center"/>
    </xf>
    <xf numFmtId="164" fontId="73" fillId="0" borderId="22">
      <alignment horizontal="right" vertical="center"/>
    </xf>
    <xf numFmtId="164" fontId="73" fillId="0" borderId="22">
      <alignment horizontal="right" vertical="center"/>
    </xf>
    <xf numFmtId="164" fontId="73" fillId="0" borderId="22">
      <alignment horizontal="right" vertical="center"/>
    </xf>
    <xf numFmtId="164" fontId="73" fillId="0" borderId="22">
      <alignment horizontal="right" vertical="center"/>
    </xf>
    <xf numFmtId="164" fontId="73" fillId="0" borderId="22">
      <alignment horizontal="right" vertical="center"/>
    </xf>
    <xf numFmtId="164" fontId="73" fillId="0" borderId="22">
      <alignment horizontal="right" vertical="center"/>
    </xf>
    <xf numFmtId="164" fontId="73" fillId="0" borderId="22">
      <alignment horizontal="right" vertical="center"/>
    </xf>
    <xf numFmtId="164" fontId="73" fillId="0" borderId="22">
      <alignment horizontal="right" vertical="center"/>
    </xf>
    <xf numFmtId="164" fontId="73" fillId="0" borderId="22">
      <alignment horizontal="right" vertical="center"/>
    </xf>
    <xf numFmtId="164" fontId="73" fillId="0" borderId="22">
      <alignment horizontal="right" vertical="center"/>
    </xf>
    <xf numFmtId="258" fontId="81" fillId="0" borderId="22">
      <alignment horizontal="right" vertical="center"/>
    </xf>
    <xf numFmtId="258" fontId="81" fillId="0" borderId="22">
      <alignment horizontal="right" vertical="center"/>
    </xf>
    <xf numFmtId="164" fontId="73" fillId="0" borderId="22">
      <alignment horizontal="right" vertical="center"/>
    </xf>
    <xf numFmtId="164" fontId="73" fillId="0" borderId="22">
      <alignment horizontal="right" vertical="center"/>
    </xf>
    <xf numFmtId="164" fontId="73" fillId="0" borderId="22">
      <alignment horizontal="right" vertical="center"/>
    </xf>
    <xf numFmtId="164" fontId="73" fillId="0" borderId="22">
      <alignment horizontal="right" vertical="center"/>
    </xf>
    <xf numFmtId="164" fontId="73" fillId="0" borderId="22">
      <alignment horizontal="right" vertical="center"/>
    </xf>
    <xf numFmtId="164" fontId="73" fillId="0" borderId="22">
      <alignment horizontal="right" vertical="center"/>
    </xf>
    <xf numFmtId="259" fontId="43" fillId="0" borderId="22">
      <alignment horizontal="right" vertical="center"/>
    </xf>
    <xf numFmtId="259" fontId="43"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164" fontId="73" fillId="0" borderId="22">
      <alignment horizontal="right" vertical="center"/>
    </xf>
    <xf numFmtId="164" fontId="73" fillId="0" borderId="22">
      <alignment horizontal="right" vertical="center"/>
    </xf>
    <xf numFmtId="164" fontId="73" fillId="0" borderId="22">
      <alignment horizontal="right" vertical="center"/>
    </xf>
    <xf numFmtId="164" fontId="73" fillId="0" borderId="22">
      <alignment horizontal="right" vertical="center"/>
    </xf>
    <xf numFmtId="164" fontId="73" fillId="0" borderId="22">
      <alignment horizontal="right" vertical="center"/>
    </xf>
    <xf numFmtId="164" fontId="73" fillId="0" borderId="22">
      <alignment horizontal="right" vertical="center"/>
    </xf>
    <xf numFmtId="264" fontId="147" fillId="3" borderId="23" applyFont="0" applyFill="0" applyBorder="0"/>
    <xf numFmtId="264" fontId="147" fillId="3" borderId="23" applyFont="0" applyFill="0" applyBorder="0"/>
    <xf numFmtId="251" fontId="13" fillId="0" borderId="22">
      <alignment horizontal="right" vertical="center"/>
    </xf>
    <xf numFmtId="251" fontId="13" fillId="0" borderId="22">
      <alignment horizontal="right" vertical="center"/>
    </xf>
    <xf numFmtId="251" fontId="13" fillId="0" borderId="22">
      <alignment horizontal="right" vertical="center"/>
    </xf>
    <xf numFmtId="251" fontId="13" fillId="0" borderId="22">
      <alignment horizontal="right" vertical="center"/>
    </xf>
    <xf numFmtId="251" fontId="13" fillId="0" borderId="22">
      <alignment horizontal="right" vertical="center"/>
    </xf>
    <xf numFmtId="251" fontId="13" fillId="0" borderId="22">
      <alignment horizontal="right" vertical="center"/>
    </xf>
    <xf numFmtId="166" fontId="146" fillId="0" borderId="22">
      <alignment horizontal="right" vertical="center"/>
    </xf>
    <xf numFmtId="166" fontId="146" fillId="0" borderId="22">
      <alignment horizontal="right" vertical="center"/>
    </xf>
    <xf numFmtId="166" fontId="146" fillId="0" borderId="22">
      <alignment horizontal="right" vertical="center"/>
    </xf>
    <xf numFmtId="166" fontId="146" fillId="0" borderId="22">
      <alignment horizontal="right" vertical="center"/>
    </xf>
    <xf numFmtId="166" fontId="146" fillId="0" borderId="22">
      <alignment horizontal="right" vertical="center"/>
    </xf>
    <xf numFmtId="166" fontId="146" fillId="0" borderId="22">
      <alignment horizontal="right" vertical="center"/>
    </xf>
    <xf numFmtId="166" fontId="146" fillId="0" borderId="22">
      <alignment horizontal="right" vertical="center"/>
    </xf>
    <xf numFmtId="166" fontId="146" fillId="0" borderId="22">
      <alignment horizontal="right" vertical="center"/>
    </xf>
    <xf numFmtId="166" fontId="146" fillId="0" borderId="22">
      <alignment horizontal="right" vertical="center"/>
    </xf>
    <xf numFmtId="166" fontId="146" fillId="0" borderId="22">
      <alignment horizontal="right" vertical="center"/>
    </xf>
    <xf numFmtId="166" fontId="146" fillId="0" borderId="22">
      <alignment horizontal="right" vertical="center"/>
    </xf>
    <xf numFmtId="166" fontId="146"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65" fontId="13" fillId="0" borderId="22">
      <alignment horizontal="right" vertical="center"/>
    </xf>
    <xf numFmtId="265" fontId="13" fillId="0" borderId="22">
      <alignment horizontal="right" vertical="center"/>
    </xf>
    <xf numFmtId="265" fontId="13" fillId="0" borderId="22">
      <alignment horizontal="right" vertical="center"/>
    </xf>
    <xf numFmtId="265" fontId="13" fillId="0" borderId="22">
      <alignment horizontal="right" vertical="center"/>
    </xf>
    <xf numFmtId="265" fontId="13" fillId="0" borderId="22">
      <alignment horizontal="right" vertical="center"/>
    </xf>
    <xf numFmtId="265" fontId="13" fillId="0" borderId="22">
      <alignment horizontal="right" vertical="center"/>
    </xf>
    <xf numFmtId="265" fontId="13" fillId="0" borderId="22">
      <alignment horizontal="right" vertical="center"/>
    </xf>
    <xf numFmtId="265" fontId="13" fillId="0" borderId="22">
      <alignment horizontal="right" vertical="center"/>
    </xf>
    <xf numFmtId="265" fontId="13" fillId="0" borderId="22">
      <alignment horizontal="right" vertical="center"/>
    </xf>
    <xf numFmtId="265" fontId="13" fillId="0" borderId="22">
      <alignment horizontal="right" vertical="center"/>
    </xf>
    <xf numFmtId="265" fontId="13" fillId="0" borderId="22">
      <alignment horizontal="right" vertical="center"/>
    </xf>
    <xf numFmtId="265" fontId="13" fillId="0" borderId="22">
      <alignment horizontal="right" vertical="center"/>
    </xf>
    <xf numFmtId="264" fontId="147" fillId="3" borderId="23" applyFont="0" applyFill="0" applyBorder="0"/>
    <xf numFmtId="264" fontId="147" fillId="3" borderId="23" applyFont="0" applyFill="0" applyBorder="0"/>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58" fontId="81" fillId="0" borderId="22">
      <alignment horizontal="right" vertical="center"/>
    </xf>
    <xf numFmtId="267" fontId="148" fillId="0" borderId="22">
      <alignment horizontal="right" vertical="center"/>
    </xf>
    <xf numFmtId="267" fontId="148" fillId="0" borderId="22">
      <alignment horizontal="right" vertical="center"/>
    </xf>
    <xf numFmtId="258" fontId="81" fillId="0" borderId="22">
      <alignment horizontal="right" vertical="center"/>
    </xf>
    <xf numFmtId="258" fontId="81" fillId="0" borderId="22">
      <alignment horizontal="right" vertical="center"/>
    </xf>
    <xf numFmtId="267" fontId="148" fillId="0" borderId="22">
      <alignment horizontal="right" vertical="center"/>
    </xf>
    <xf numFmtId="267" fontId="148" fillId="0" borderId="22">
      <alignment horizontal="right" vertical="center"/>
    </xf>
    <xf numFmtId="267" fontId="148" fillId="0" borderId="22">
      <alignment horizontal="right" vertical="center"/>
    </xf>
    <xf numFmtId="267" fontId="148" fillId="0" borderId="22">
      <alignment horizontal="right" vertical="center"/>
    </xf>
    <xf numFmtId="267" fontId="148" fillId="0" borderId="22">
      <alignment horizontal="right" vertical="center"/>
    </xf>
    <xf numFmtId="267" fontId="148" fillId="0" borderId="22">
      <alignment horizontal="right" vertical="center"/>
    </xf>
    <xf numFmtId="267" fontId="148" fillId="0" borderId="22">
      <alignment horizontal="right" vertical="center"/>
    </xf>
    <xf numFmtId="267" fontId="148" fillId="0" borderId="22">
      <alignment horizontal="right" vertical="center"/>
    </xf>
    <xf numFmtId="267" fontId="148" fillId="0" borderId="22">
      <alignment horizontal="right" vertical="center"/>
    </xf>
    <xf numFmtId="267" fontId="148" fillId="0" borderId="22">
      <alignment horizontal="right" vertical="center"/>
    </xf>
    <xf numFmtId="267" fontId="148" fillId="0" borderId="22">
      <alignment horizontal="right" vertical="center"/>
    </xf>
    <xf numFmtId="267" fontId="148" fillId="0" borderId="22">
      <alignment horizontal="right" vertical="center"/>
    </xf>
    <xf numFmtId="267" fontId="148" fillId="0" borderId="22">
      <alignment horizontal="right" vertical="center"/>
    </xf>
    <xf numFmtId="267" fontId="148" fillId="0" borderId="22">
      <alignment horizontal="right" vertical="center"/>
    </xf>
    <xf numFmtId="267" fontId="148" fillId="0" borderId="22">
      <alignment horizontal="right" vertical="center"/>
    </xf>
    <xf numFmtId="267" fontId="148" fillId="0" borderId="22">
      <alignment horizontal="right" vertical="center"/>
    </xf>
    <xf numFmtId="267" fontId="148" fillId="0" borderId="22">
      <alignment horizontal="right" vertical="center"/>
    </xf>
    <xf numFmtId="267" fontId="148" fillId="0" borderId="22">
      <alignment horizontal="right" vertical="center"/>
    </xf>
    <xf numFmtId="259" fontId="43" fillId="0" borderId="22">
      <alignment horizontal="right" vertical="center"/>
    </xf>
    <xf numFmtId="259" fontId="43" fillId="0" borderId="22">
      <alignment horizontal="right" vertical="center"/>
    </xf>
    <xf numFmtId="258" fontId="81" fillId="0" borderId="22">
      <alignment horizontal="right" vertical="center"/>
    </xf>
    <xf numFmtId="258" fontId="81" fillId="0" borderId="22">
      <alignment horizontal="right" vertical="center"/>
    </xf>
    <xf numFmtId="49" fontId="53" fillId="0" borderId="0" applyFill="0" applyBorder="0" applyAlignment="0"/>
    <xf numFmtId="0" fontId="6" fillId="0" borderId="0" applyFill="0" applyBorder="0" applyAlignment="0"/>
    <xf numFmtId="266" fontId="6" fillId="0" borderId="0" applyFill="0" applyBorder="0" applyAlignment="0"/>
    <xf numFmtId="182" fontId="81" fillId="0" borderId="22">
      <alignment horizontal="center"/>
    </xf>
    <xf numFmtId="182" fontId="81" fillId="0" borderId="22">
      <alignment horizontal="center"/>
    </xf>
    <xf numFmtId="0" fontId="149" fillId="0" borderId="24" applyProtection="0"/>
    <xf numFmtId="0" fontId="81" fillId="0" borderId="0" applyProtection="0"/>
    <xf numFmtId="0" fontId="6" fillId="0" borderId="0" applyProtection="0"/>
    <xf numFmtId="0" fontId="127" fillId="0" borderId="0" applyProtection="0"/>
    <xf numFmtId="268" fontId="150" fillId="0" borderId="0" applyNumberFormat="0" applyFont="0" applyFill="0" applyBorder="0" applyAlignment="0">
      <alignment horizontal="centerContinuous"/>
    </xf>
    <xf numFmtId="0" fontId="149" fillId="0" borderId="25"/>
    <xf numFmtId="0" fontId="81" fillId="0" borderId="0" applyNumberFormat="0" applyFill="0" applyBorder="0" applyAlignment="0" applyProtection="0"/>
    <xf numFmtId="0" fontId="6" fillId="0" borderId="0" applyNumberFormat="0" applyFill="0" applyBorder="0" applyAlignment="0" applyProtection="0"/>
    <xf numFmtId="0" fontId="127" fillId="0" borderId="0" applyNumberFormat="0" applyFill="0" applyBorder="0" applyAlignment="0" applyProtection="0"/>
    <xf numFmtId="0" fontId="61" fillId="0" borderId="17" applyNumberFormat="0" applyBorder="0" applyAlignment="0"/>
    <xf numFmtId="0" fontId="151" fillId="0" borderId="16" applyNumberFormat="0" applyBorder="0" applyAlignment="0">
      <alignment horizontal="center"/>
    </xf>
    <xf numFmtId="0" fontId="151" fillId="0" borderId="16" applyNumberFormat="0" applyBorder="0" applyAlignment="0">
      <alignment horizontal="center"/>
    </xf>
    <xf numFmtId="3" fontId="152" fillId="0" borderId="11" applyNumberFormat="0" applyBorder="0" applyAlignment="0"/>
    <xf numFmtId="0" fontId="153" fillId="0" borderId="17">
      <alignment horizontal="center" vertical="center" wrapText="1"/>
    </xf>
    <xf numFmtId="0" fontId="154" fillId="0" borderId="0">
      <alignment horizontal="center"/>
    </xf>
    <xf numFmtId="40" fontId="101" fillId="0" borderId="0"/>
    <xf numFmtId="3" fontId="155" fillId="0" borderId="0" applyNumberFormat="0" applyFill="0" applyBorder="0" applyAlignment="0" applyProtection="0">
      <alignment horizontal="center" wrapText="1"/>
    </xf>
    <xf numFmtId="0" fontId="156" fillId="0" borderId="4" applyBorder="0" applyAlignment="0">
      <alignment horizontal="center" vertical="center"/>
    </xf>
    <xf numFmtId="0" fontId="156" fillId="0" borderId="4" applyBorder="0" applyAlignment="0">
      <alignment horizontal="center" vertical="center"/>
    </xf>
    <xf numFmtId="0" fontId="157" fillId="0" borderId="0" applyNumberFormat="0" applyFill="0" applyBorder="0" applyAlignment="0" applyProtection="0">
      <alignment horizontal="centerContinuous"/>
    </xf>
    <xf numFmtId="0" fontId="102" fillId="0" borderId="26" applyNumberFormat="0" applyFill="0" applyBorder="0" applyAlignment="0" applyProtection="0">
      <alignment horizontal="center" vertical="center" wrapText="1"/>
    </xf>
    <xf numFmtId="3" fontId="158" fillId="0" borderId="3" applyNumberFormat="0" applyAlignment="0">
      <alignment horizontal="center" vertical="center"/>
    </xf>
    <xf numFmtId="3" fontId="159" fillId="0" borderId="17" applyNumberFormat="0" applyAlignment="0">
      <alignment horizontal="left" wrapText="1"/>
    </xf>
    <xf numFmtId="0" fontId="160" fillId="0" borderId="27" applyNumberFormat="0" applyBorder="0" applyAlignment="0">
      <alignment vertical="center"/>
    </xf>
    <xf numFmtId="0" fontId="161" fillId="0" borderId="28" applyNumberFormat="0" applyAlignment="0">
      <alignment horizontal="center"/>
    </xf>
    <xf numFmtId="0" fontId="22" fillId="0" borderId="29">
      <alignment horizontal="center"/>
    </xf>
    <xf numFmtId="167" fontId="6" fillId="0" borderId="0" applyFont="0" applyFill="0" applyBorder="0" applyAlignment="0" applyProtection="0"/>
    <xf numFmtId="269" fontId="6" fillId="0" borderId="0" applyFont="0" applyFill="0" applyBorder="0" applyAlignment="0" applyProtection="0"/>
    <xf numFmtId="222" fontId="109" fillId="0" borderId="0" applyFont="0" applyFill="0" applyBorder="0" applyAlignment="0" applyProtection="0"/>
    <xf numFmtId="186" fontId="6" fillId="0" borderId="0" applyFont="0" applyFill="0" applyBorder="0" applyAlignment="0" applyProtection="0"/>
    <xf numFmtId="270" fontId="6" fillId="0" borderId="0" applyFont="0" applyFill="0" applyBorder="0" applyAlignment="0" applyProtection="0"/>
    <xf numFmtId="0" fontId="51" fillId="0" borderId="30">
      <alignment horizontal="center"/>
    </xf>
    <xf numFmtId="0" fontId="51" fillId="0" borderId="30">
      <alignment horizontal="center"/>
    </xf>
    <xf numFmtId="266" fontId="81" fillId="0" borderId="0"/>
    <xf numFmtId="271" fontId="81" fillId="0" borderId="2"/>
    <xf numFmtId="271" fontId="81" fillId="0" borderId="2"/>
    <xf numFmtId="0" fontId="162" fillId="0" borderId="0"/>
    <xf numFmtId="0" fontId="162" fillId="0" borderId="0" applyProtection="0"/>
    <xf numFmtId="3" fontId="81" fillId="0" borderId="0" applyNumberFormat="0" applyBorder="0" applyAlignment="0" applyProtection="0">
      <alignment horizontal="centerContinuous"/>
      <protection locked="0"/>
    </xf>
    <xf numFmtId="3" fontId="163" fillId="0" borderId="0">
      <protection locked="0"/>
    </xf>
    <xf numFmtId="0" fontId="162" fillId="0" borderId="0"/>
    <xf numFmtId="0" fontId="162" fillId="0" borderId="0" applyProtection="0"/>
    <xf numFmtId="171" fontId="164" fillId="23" borderId="4">
      <alignment vertical="top"/>
    </xf>
    <xf numFmtId="171" fontId="164" fillId="23" borderId="4">
      <alignment vertical="top"/>
    </xf>
    <xf numFmtId="0" fontId="165" fillId="24" borderId="2">
      <alignment horizontal="left" vertical="center"/>
    </xf>
    <xf numFmtId="0" fontId="165" fillId="24" borderId="2">
      <alignment horizontal="left" vertical="center"/>
    </xf>
    <xf numFmtId="172" fontId="166" fillId="25" borderId="4"/>
    <xf numFmtId="172" fontId="166" fillId="25" borderId="4"/>
    <xf numFmtId="171" fontId="107" fillId="0" borderId="4">
      <alignment horizontal="left" vertical="top"/>
    </xf>
    <xf numFmtId="171" fontId="107" fillId="0" borderId="4">
      <alignment horizontal="left" vertical="top"/>
    </xf>
    <xf numFmtId="0" fontId="167" fillId="26" borderId="0">
      <alignment horizontal="left" vertical="center"/>
    </xf>
    <xf numFmtId="171" fontId="42" fillId="0" borderId="3">
      <alignment horizontal="left" vertical="top"/>
    </xf>
    <xf numFmtId="0" fontId="168" fillId="0" borderId="3">
      <alignment horizontal="left" vertical="center"/>
    </xf>
    <xf numFmtId="0" fontId="6" fillId="0" borderId="0" applyFont="0" applyFill="0" applyBorder="0" applyAlignment="0" applyProtection="0"/>
    <xf numFmtId="0" fontId="6" fillId="0" borderId="0" applyFont="0" applyFill="0" applyBorder="0" applyAlignment="0" applyProtection="0"/>
    <xf numFmtId="173" fontId="38" fillId="0" borderId="0" applyFont="0" applyFill="0" applyBorder="0" applyAlignment="0" applyProtection="0"/>
    <xf numFmtId="272" fontId="6" fillId="0" borderId="0" applyFont="0" applyFill="0" applyBorder="0" applyAlignment="0" applyProtection="0"/>
    <xf numFmtId="173" fontId="96" fillId="0" borderId="0" applyFont="0" applyFill="0" applyBorder="0" applyAlignment="0" applyProtection="0"/>
    <xf numFmtId="174" fontId="96" fillId="0" borderId="0" applyFont="0" applyFill="0" applyBorder="0" applyAlignment="0" applyProtection="0"/>
    <xf numFmtId="0" fontId="169" fillId="0" borderId="0" applyNumberFormat="0" applyFont="0" applyFill="0" applyBorder="0" applyProtection="0">
      <alignment horizontal="center" vertical="center" wrapText="1"/>
    </xf>
    <xf numFmtId="0" fontId="6" fillId="0" borderId="0" applyFont="0" applyFill="0" applyBorder="0" applyAlignment="0" applyProtection="0"/>
    <xf numFmtId="0" fontId="6" fillId="0" borderId="0" applyFont="0" applyFill="0" applyBorder="0" applyAlignment="0" applyProtection="0"/>
    <xf numFmtId="0" fontId="170" fillId="0" borderId="0" applyNumberFormat="0" applyFill="0" applyBorder="0" applyAlignment="0" applyProtection="0"/>
    <xf numFmtId="0" fontId="73" fillId="0" borderId="31" applyFont="0" applyBorder="0" applyAlignment="0">
      <alignment horizontal="center"/>
    </xf>
    <xf numFmtId="0" fontId="73" fillId="0" borderId="31" applyFont="0" applyBorder="0" applyAlignment="0">
      <alignment horizontal="center"/>
    </xf>
    <xf numFmtId="167" fontId="13" fillId="0" borderId="0" applyFont="0" applyFill="0" applyBorder="0" applyAlignment="0" applyProtection="0"/>
    <xf numFmtId="173" fontId="171" fillId="0" borderId="0" applyFont="0" applyFill="0" applyBorder="0" applyAlignment="0" applyProtection="0"/>
    <xf numFmtId="174" fontId="171" fillId="0" borderId="0" applyFont="0" applyFill="0" applyBorder="0" applyAlignment="0" applyProtection="0"/>
    <xf numFmtId="0" fontId="171" fillId="0" borderId="0"/>
    <xf numFmtId="0" fontId="172" fillId="0" borderId="0" applyFont="0" applyFill="0" applyBorder="0" applyAlignment="0" applyProtection="0"/>
    <xf numFmtId="0" fontId="172" fillId="0" borderId="0" applyFont="0" applyFill="0" applyBorder="0" applyAlignment="0" applyProtection="0"/>
    <xf numFmtId="0" fontId="7" fillId="0" borderId="0">
      <alignment vertical="center"/>
    </xf>
    <xf numFmtId="40" fontId="173" fillId="0" borderId="0" applyFont="0" applyFill="0" applyBorder="0" applyAlignment="0" applyProtection="0"/>
    <xf numFmtId="38" fontId="173" fillId="0" borderId="0" applyFont="0" applyFill="0" applyBorder="0" applyAlignment="0" applyProtection="0"/>
    <xf numFmtId="0" fontId="173" fillId="0" borderId="0" applyFont="0" applyFill="0" applyBorder="0" applyAlignment="0" applyProtection="0"/>
    <xf numFmtId="0" fontId="173" fillId="0" borderId="0" applyFont="0" applyFill="0" applyBorder="0" applyAlignment="0" applyProtection="0"/>
    <xf numFmtId="9" fontId="174" fillId="0" borderId="0" applyBorder="0" applyAlignment="0" applyProtection="0"/>
    <xf numFmtId="0" fontId="175" fillId="0" borderId="0"/>
    <xf numFmtId="0" fontId="176" fillId="0" borderId="8"/>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20" fillId="0" borderId="0" applyFont="0" applyFill="0" applyBorder="0" applyAlignment="0" applyProtection="0"/>
    <xf numFmtId="0" fontId="120" fillId="0" borderId="0" applyFont="0" applyFill="0" applyBorder="0" applyAlignment="0" applyProtection="0"/>
    <xf numFmtId="186" fontId="6" fillId="0" borderId="0" applyFont="0" applyFill="0" applyBorder="0" applyAlignment="0" applyProtection="0"/>
    <xf numFmtId="215" fontId="6" fillId="0" borderId="0" applyFont="0" applyFill="0" applyBorder="0" applyAlignment="0" applyProtection="0"/>
    <xf numFmtId="0" fontId="120" fillId="0" borderId="0"/>
    <xf numFmtId="0" fontId="177" fillId="0" borderId="0"/>
    <xf numFmtId="0" fontId="36" fillId="0" borderId="0"/>
    <xf numFmtId="167" fontId="41" fillId="0" borderId="0" applyFont="0" applyFill="0" applyBorder="0" applyAlignment="0" applyProtection="0"/>
    <xf numFmtId="168" fontId="41" fillId="0" borderId="0" applyFont="0" applyFill="0" applyBorder="0" applyAlignment="0" applyProtection="0"/>
    <xf numFmtId="170" fontId="6" fillId="0" borderId="0" applyFont="0" applyFill="0" applyBorder="0" applyAlignment="0" applyProtection="0"/>
    <xf numFmtId="169" fontId="6" fillId="0" borderId="0" applyFont="0" applyFill="0" applyBorder="0" applyAlignment="0" applyProtection="0"/>
    <xf numFmtId="0" fontId="6" fillId="0" borderId="0"/>
    <xf numFmtId="186" fontId="41" fillId="0" borderId="0" applyFont="0" applyFill="0" applyBorder="0" applyAlignment="0" applyProtection="0"/>
    <xf numFmtId="172" fontId="48" fillId="0" borderId="0" applyFont="0" applyFill="0" applyBorder="0" applyAlignment="0" applyProtection="0"/>
    <xf numFmtId="215" fontId="41" fillId="0" borderId="0" applyFont="0" applyFill="0" applyBorder="0" applyAlignment="0" applyProtection="0"/>
    <xf numFmtId="174" fontId="6" fillId="0" borderId="0" applyFont="0" applyFill="0" applyBorder="0" applyAlignment="0" applyProtection="0"/>
    <xf numFmtId="173" fontId="6" fillId="0" borderId="0" applyFont="0" applyFill="0" applyBorder="0" applyAlignment="0" applyProtection="0"/>
    <xf numFmtId="0" fontId="4" fillId="0" borderId="0"/>
    <xf numFmtId="0" fontId="183" fillId="0" borderId="0" applyNumberFormat="0" applyFill="0" applyBorder="0" applyAlignment="0" applyProtection="0">
      <alignment vertical="top"/>
      <protection locked="0"/>
    </xf>
    <xf numFmtId="0" fontId="6" fillId="0" borderId="0"/>
    <xf numFmtId="0" fontId="6" fillId="0" borderId="0"/>
    <xf numFmtId="0" fontId="45" fillId="0" borderId="0"/>
    <xf numFmtId="0" fontId="3" fillId="0" borderId="0"/>
    <xf numFmtId="0" fontId="6" fillId="0" borderId="0"/>
    <xf numFmtId="0" fontId="2" fillId="0" borderId="0"/>
    <xf numFmtId="0" fontId="1" fillId="0" borderId="0"/>
  </cellStyleXfs>
  <cellXfs count="563">
    <xf numFmtId="0" fontId="0" fillId="0" borderId="0" xfId="0"/>
    <xf numFmtId="1" fontId="7" fillId="0" borderId="0" xfId="2" applyNumberFormat="1" applyFont="1" applyAlignment="1">
      <alignment vertical="center" wrapText="1"/>
    </xf>
    <xf numFmtId="1" fontId="7" fillId="0" borderId="0" xfId="2" applyNumberFormat="1" applyFont="1" applyAlignment="1">
      <alignment horizontal="center" vertical="center" wrapText="1"/>
    </xf>
    <xf numFmtId="0" fontId="11" fillId="0" borderId="0" xfId="8" applyFont="1" applyAlignment="1">
      <alignment vertical="center" wrapText="1"/>
    </xf>
    <xf numFmtId="0" fontId="17" fillId="0" borderId="0" xfId="8" applyFont="1" applyAlignment="1">
      <alignment vertical="center" wrapText="1"/>
    </xf>
    <xf numFmtId="1" fontId="19" fillId="0" borderId="0" xfId="2" applyNumberFormat="1" applyFont="1" applyAlignment="1">
      <alignment vertical="center" wrapText="1"/>
    </xf>
    <xf numFmtId="3" fontId="19" fillId="0" borderId="0" xfId="2" applyNumberFormat="1" applyFont="1" applyAlignment="1">
      <alignment horizontal="center" vertical="center" wrapText="1"/>
    </xf>
    <xf numFmtId="3" fontId="19" fillId="0" borderId="2" xfId="2" applyNumberFormat="1" applyFont="1" applyBorder="1" applyAlignment="1">
      <alignment horizontal="right" vertical="center" wrapText="1"/>
    </xf>
    <xf numFmtId="3" fontId="19" fillId="0" borderId="2" xfId="2" applyNumberFormat="1" applyFont="1" applyBorder="1" applyAlignment="1">
      <alignment horizontal="left" vertical="center" wrapText="1"/>
    </xf>
    <xf numFmtId="3" fontId="19" fillId="0" borderId="2" xfId="2" quotePrefix="1" applyNumberFormat="1" applyFont="1" applyBorder="1" applyAlignment="1">
      <alignment horizontal="center" vertical="center" wrapText="1"/>
    </xf>
    <xf numFmtId="3" fontId="19" fillId="0" borderId="2" xfId="2" quotePrefix="1" applyNumberFormat="1" applyFont="1" applyBorder="1" applyAlignment="1">
      <alignment horizontal="right" vertical="center" wrapText="1"/>
    </xf>
    <xf numFmtId="3" fontId="19" fillId="0" borderId="0" xfId="2" applyNumberFormat="1" applyFont="1" applyAlignment="1">
      <alignment vertical="center" wrapText="1"/>
    </xf>
    <xf numFmtId="3" fontId="18" fillId="0" borderId="0" xfId="2" applyNumberFormat="1" applyFont="1" applyAlignment="1">
      <alignment vertical="center" wrapText="1"/>
    </xf>
    <xf numFmtId="1" fontId="18" fillId="0" borderId="2" xfId="2" applyNumberFormat="1" applyFont="1" applyBorder="1" applyAlignment="1">
      <alignment horizontal="center" vertical="center" wrapText="1"/>
    </xf>
    <xf numFmtId="1" fontId="18" fillId="0" borderId="2" xfId="2" applyNumberFormat="1" applyFont="1" applyBorder="1" applyAlignment="1">
      <alignment vertical="center" wrapText="1"/>
    </xf>
    <xf numFmtId="3" fontId="18" fillId="0" borderId="2" xfId="2" quotePrefix="1" applyNumberFormat="1" applyFont="1" applyBorder="1" applyAlignment="1">
      <alignment horizontal="right" vertical="center" wrapText="1"/>
    </xf>
    <xf numFmtId="3" fontId="18" fillId="0" borderId="2" xfId="2" applyNumberFormat="1" applyFont="1" applyBorder="1" applyAlignment="1">
      <alignment horizontal="right" vertical="center" wrapText="1"/>
    </xf>
    <xf numFmtId="1" fontId="19" fillId="0" borderId="2" xfId="2" applyNumberFormat="1" applyFont="1" applyBorder="1" applyAlignment="1">
      <alignment vertical="center" wrapText="1"/>
    </xf>
    <xf numFmtId="0" fontId="18" fillId="0" borderId="2" xfId="0" applyFont="1" applyBorder="1" applyAlignment="1">
      <alignment horizontal="center" vertical="center" wrapText="1"/>
    </xf>
    <xf numFmtId="3" fontId="18" fillId="0" borderId="2" xfId="0" applyNumberFormat="1" applyFont="1" applyBorder="1" applyAlignment="1">
      <alignment horizontal="right" vertical="center" wrapText="1"/>
    </xf>
    <xf numFmtId="1" fontId="18" fillId="0" borderId="0" xfId="2" applyNumberFormat="1" applyFont="1" applyAlignment="1">
      <alignment vertical="center" wrapText="1"/>
    </xf>
    <xf numFmtId="1" fontId="18" fillId="0" borderId="0" xfId="2" applyNumberFormat="1" applyFont="1" applyAlignment="1">
      <alignment horizontal="center" vertical="center" wrapText="1"/>
    </xf>
    <xf numFmtId="3" fontId="24" fillId="0" borderId="2" xfId="2" applyNumberFormat="1" applyFont="1" applyBorder="1" applyAlignment="1">
      <alignment horizontal="left" vertical="center" wrapText="1"/>
    </xf>
    <xf numFmtId="2" fontId="24" fillId="0" borderId="2" xfId="2" quotePrefix="1" applyNumberFormat="1" applyFont="1" applyBorder="1" applyAlignment="1">
      <alignment horizontal="center" vertical="center" wrapText="1"/>
    </xf>
    <xf numFmtId="4" fontId="24" fillId="0" borderId="2" xfId="0" applyNumberFormat="1" applyFont="1" applyBorder="1" applyAlignment="1">
      <alignment horizontal="center" vertical="center" wrapText="1"/>
    </xf>
    <xf numFmtId="3" fontId="24" fillId="0" borderId="2" xfId="9" applyNumberFormat="1" applyFont="1" applyFill="1" applyBorder="1" applyAlignment="1">
      <alignment horizontal="right" vertical="center"/>
    </xf>
    <xf numFmtId="0" fontId="23" fillId="0" borderId="0" xfId="2" applyFont="1" applyAlignment="1">
      <alignment vertical="center" wrapText="1"/>
    </xf>
    <xf numFmtId="0" fontId="23" fillId="0" borderId="0" xfId="21" applyFont="1" applyAlignment="1">
      <alignment vertical="center" wrapText="1"/>
    </xf>
    <xf numFmtId="3" fontId="24" fillId="0" borderId="0" xfId="2" applyNumberFormat="1" applyFont="1" applyAlignment="1">
      <alignment vertical="center" wrapText="1"/>
    </xf>
    <xf numFmtId="0" fontId="23" fillId="0" borderId="0" xfId="12" applyFont="1" applyAlignment="1">
      <alignment vertical="center" wrapText="1"/>
    </xf>
    <xf numFmtId="1" fontId="23" fillId="0" borderId="0" xfId="2" applyNumberFormat="1" applyFont="1" applyAlignment="1">
      <alignment vertical="center" wrapText="1"/>
    </xf>
    <xf numFmtId="0" fontId="23" fillId="0" borderId="0" xfId="6" applyFont="1" applyAlignment="1">
      <alignment vertical="center" wrapText="1"/>
    </xf>
    <xf numFmtId="1" fontId="23" fillId="0" borderId="0" xfId="2" applyNumberFormat="1" applyFont="1" applyAlignment="1">
      <alignment vertical="center"/>
    </xf>
    <xf numFmtId="175" fontId="23" fillId="0" borderId="2" xfId="8" applyNumberFormat="1" applyFont="1" applyBorder="1" applyAlignment="1">
      <alignment horizontal="right" vertical="center" wrapText="1"/>
    </xf>
    <xf numFmtId="49" fontId="23" fillId="0" borderId="2" xfId="8" applyNumberFormat="1" applyFont="1" applyBorder="1" applyAlignment="1">
      <alignment horizontal="center" vertical="center" wrapText="1"/>
    </xf>
    <xf numFmtId="4" fontId="23" fillId="0" borderId="2" xfId="0" applyNumberFormat="1" applyFont="1" applyBorder="1" applyAlignment="1">
      <alignment horizontal="left" vertical="center" wrapText="1"/>
    </xf>
    <xf numFmtId="3" fontId="23" fillId="0" borderId="2" xfId="9" applyNumberFormat="1" applyFont="1" applyFill="1" applyBorder="1" applyAlignment="1">
      <alignment horizontal="right" vertical="center" wrapText="1"/>
    </xf>
    <xf numFmtId="175" fontId="24" fillId="0" borderId="2" xfId="8" applyNumberFormat="1" applyFont="1" applyBorder="1" applyAlignment="1">
      <alignment horizontal="right" vertical="center" wrapText="1"/>
    </xf>
    <xf numFmtId="3" fontId="23" fillId="0" borderId="2" xfId="7" quotePrefix="1" applyNumberFormat="1" applyFont="1" applyFill="1" applyBorder="1" applyAlignment="1">
      <alignment horizontal="center" vertical="center" wrapText="1"/>
    </xf>
    <xf numFmtId="3" fontId="23" fillId="0" borderId="2" xfId="2" quotePrefix="1" applyNumberFormat="1" applyFont="1" applyBorder="1" applyAlignment="1">
      <alignment horizontal="center" vertical="center" wrapText="1"/>
    </xf>
    <xf numFmtId="3" fontId="23" fillId="0" borderId="2" xfId="2" quotePrefix="1" applyNumberFormat="1" applyFont="1" applyBorder="1" applyAlignment="1">
      <alignment horizontal="right" vertical="center" wrapText="1"/>
    </xf>
    <xf numFmtId="0" fontId="23" fillId="0" borderId="2" xfId="29" applyFont="1" applyBorder="1" applyAlignment="1">
      <alignment horizontal="left" vertical="center" wrapText="1"/>
    </xf>
    <xf numFmtId="3" fontId="23" fillId="0" borderId="2" xfId="2" applyNumberFormat="1" applyFont="1" applyBorder="1" applyAlignment="1">
      <alignment horizontal="left" vertical="center" wrapText="1"/>
    </xf>
    <xf numFmtId="0" fontId="23" fillId="0" borderId="2" xfId="24" applyNumberFormat="1" applyFont="1" applyFill="1" applyBorder="1" applyAlignment="1">
      <alignment horizontal="center" vertical="center" wrapText="1"/>
    </xf>
    <xf numFmtId="3" fontId="23" fillId="0" borderId="2" xfId="2" applyNumberFormat="1" applyFont="1" applyBorder="1" applyAlignment="1">
      <alignment horizontal="center" vertical="center" wrapText="1"/>
    </xf>
    <xf numFmtId="3" fontId="23" fillId="0" borderId="2" xfId="24" quotePrefix="1" applyNumberFormat="1" applyFont="1" applyFill="1" applyBorder="1" applyAlignment="1">
      <alignment vertical="center" wrapText="1"/>
    </xf>
    <xf numFmtId="0" fontId="23" fillId="0" borderId="2" xfId="0" applyFont="1" applyBorder="1" applyAlignment="1">
      <alignment horizontal="center" vertical="center" wrapText="1"/>
    </xf>
    <xf numFmtId="1" fontId="23" fillId="0" borderId="2" xfId="2" applyNumberFormat="1" applyFont="1" applyBorder="1" applyAlignment="1">
      <alignment horizontal="center" vertical="center" wrapText="1"/>
    </xf>
    <xf numFmtId="1" fontId="23" fillId="0" borderId="2" xfId="2" applyNumberFormat="1" applyFont="1" applyBorder="1" applyAlignment="1">
      <alignment vertical="center" wrapText="1"/>
    </xf>
    <xf numFmtId="1" fontId="23" fillId="0" borderId="2" xfId="2" applyNumberFormat="1" applyFont="1" applyBorder="1" applyAlignment="1">
      <alignment horizontal="right" vertical="center" wrapText="1"/>
    </xf>
    <xf numFmtId="175" fontId="23" fillId="0" borderId="2" xfId="1" quotePrefix="1" applyNumberFormat="1" applyFont="1" applyFill="1" applyBorder="1" applyAlignment="1">
      <alignment horizontal="center" vertical="center" wrapText="1"/>
    </xf>
    <xf numFmtId="3" fontId="24" fillId="0" borderId="2" xfId="0" applyNumberFormat="1" applyFont="1" applyBorder="1" applyAlignment="1">
      <alignment horizontal="center" vertical="center" wrapText="1"/>
    </xf>
    <xf numFmtId="3" fontId="24" fillId="0" borderId="2" xfId="0" applyNumberFormat="1" applyFont="1" applyBorder="1" applyAlignment="1">
      <alignment vertical="center" wrapText="1"/>
    </xf>
    <xf numFmtId="3" fontId="23" fillId="0" borderId="2" xfId="0" applyNumberFormat="1" applyFont="1" applyBorder="1" applyAlignment="1">
      <alignment horizontal="center" vertical="center" wrapText="1"/>
    </xf>
    <xf numFmtId="3" fontId="23" fillId="0" borderId="2" xfId="0" applyNumberFormat="1" applyFont="1" applyBorder="1" applyAlignment="1">
      <alignment vertical="center" wrapText="1"/>
    </xf>
    <xf numFmtId="178" fontId="23" fillId="0" borderId="2" xfId="0" applyNumberFormat="1" applyFont="1" applyBorder="1" applyAlignment="1">
      <alignment vertical="center" wrapText="1"/>
    </xf>
    <xf numFmtId="3" fontId="24" fillId="0" borderId="2" xfId="0" applyNumberFormat="1" applyFont="1" applyBorder="1" applyAlignment="1">
      <alignment horizontal="right" vertical="center" wrapText="1"/>
    </xf>
    <xf numFmtId="0" fontId="23" fillId="0" borderId="2" xfId="30" applyFont="1" applyBorder="1" applyAlignment="1">
      <alignment horizontal="center" vertical="center" wrapText="1"/>
    </xf>
    <xf numFmtId="0" fontId="23" fillId="0" borderId="2" xfId="0" applyFont="1" applyBorder="1" applyAlignment="1">
      <alignment vertical="center" wrapText="1"/>
    </xf>
    <xf numFmtId="4" fontId="23" fillId="0" borderId="2" xfId="9" applyNumberFormat="1" applyFont="1" applyFill="1" applyBorder="1" applyAlignment="1">
      <alignment horizontal="right" vertical="center" wrapText="1"/>
    </xf>
    <xf numFmtId="175" fontId="23" fillId="0" borderId="2" xfId="30" applyNumberFormat="1" applyFont="1" applyBorder="1" applyAlignment="1">
      <alignment horizontal="right" vertical="center" wrapText="1"/>
    </xf>
    <xf numFmtId="4" fontId="23" fillId="0" borderId="2" xfId="1" applyNumberFormat="1" applyFont="1" applyFill="1" applyBorder="1" applyAlignment="1">
      <alignment horizontal="right" vertical="center" wrapText="1"/>
    </xf>
    <xf numFmtId="0" fontId="23" fillId="0" borderId="2" xfId="9" applyNumberFormat="1" applyFont="1" applyFill="1" applyBorder="1" applyAlignment="1">
      <alignment horizontal="center" vertical="center" wrapText="1"/>
    </xf>
    <xf numFmtId="3" fontId="23" fillId="0" borderId="2" xfId="9" quotePrefix="1" applyNumberFormat="1" applyFont="1" applyFill="1" applyBorder="1" applyAlignment="1">
      <alignment vertical="center" wrapText="1"/>
    </xf>
    <xf numFmtId="2" fontId="23" fillId="0" borderId="2" xfId="2" quotePrefix="1" applyNumberFormat="1" applyFont="1" applyBorder="1" applyAlignment="1">
      <alignment horizontal="center" vertical="center" wrapText="1"/>
    </xf>
    <xf numFmtId="49" fontId="18" fillId="0" borderId="2" xfId="2" applyNumberFormat="1" applyFont="1" applyBorder="1" applyAlignment="1">
      <alignment horizontal="center" vertical="center" wrapText="1"/>
    </xf>
    <xf numFmtId="49" fontId="19" fillId="0" borderId="2" xfId="2" applyNumberFormat="1" applyFont="1" applyBorder="1" applyAlignment="1">
      <alignment horizontal="center" vertical="center" wrapText="1"/>
    </xf>
    <xf numFmtId="1" fontId="18" fillId="0" borderId="0" xfId="2" applyNumberFormat="1" applyFont="1" applyAlignment="1">
      <alignment horizontal="right" vertical="center" wrapText="1"/>
    </xf>
    <xf numFmtId="49" fontId="11" fillId="0" borderId="0" xfId="8" applyNumberFormat="1" applyFont="1" applyAlignment="1">
      <alignment horizontal="center" vertical="center" wrapText="1"/>
    </xf>
    <xf numFmtId="49" fontId="11" fillId="0" borderId="0" xfId="8" applyNumberFormat="1" applyFont="1" applyAlignment="1">
      <alignment vertical="center" wrapText="1"/>
    </xf>
    <xf numFmtId="49" fontId="17" fillId="0" borderId="0" xfId="8" applyNumberFormat="1" applyFont="1" applyAlignment="1">
      <alignment vertical="center" wrapText="1"/>
    </xf>
    <xf numFmtId="0" fontId="11" fillId="0" borderId="0" xfId="8" applyFont="1" applyAlignment="1">
      <alignment vertical="center"/>
    </xf>
    <xf numFmtId="175" fontId="24" fillId="0" borderId="3" xfId="8" applyNumberFormat="1" applyFont="1" applyBorder="1" applyAlignment="1">
      <alignment horizontal="right" vertical="center" wrapText="1"/>
    </xf>
    <xf numFmtId="0" fontId="24" fillId="0" borderId="2" xfId="8" applyFont="1" applyBorder="1" applyAlignment="1">
      <alignment vertical="center" wrapText="1"/>
    </xf>
    <xf numFmtId="0" fontId="24" fillId="0" borderId="0" xfId="4" applyFont="1" applyAlignment="1">
      <alignment vertical="center"/>
    </xf>
    <xf numFmtId="0" fontId="23" fillId="0" borderId="2" xfId="8" applyFont="1" applyBorder="1" applyAlignment="1">
      <alignment vertical="center" wrapText="1"/>
    </xf>
    <xf numFmtId="0" fontId="23" fillId="0" borderId="2" xfId="8" applyFont="1" applyBorder="1" applyAlignment="1">
      <alignment horizontal="center" vertical="center" wrapText="1"/>
    </xf>
    <xf numFmtId="175" fontId="23" fillId="0" borderId="2" xfId="8" applyNumberFormat="1" applyFont="1" applyBorder="1" applyAlignment="1">
      <alignment horizontal="center" vertical="center" wrapText="1"/>
    </xf>
    <xf numFmtId="0" fontId="23" fillId="0" borderId="2" xfId="0" applyFont="1" applyBorder="1" applyAlignment="1">
      <alignment horizontal="left" vertical="center" wrapText="1"/>
    </xf>
    <xf numFmtId="175" fontId="23" fillId="0" borderId="2" xfId="1" applyNumberFormat="1" applyFont="1" applyFill="1" applyBorder="1" applyAlignment="1">
      <alignment horizontal="right" vertical="center" wrapText="1"/>
    </xf>
    <xf numFmtId="14" fontId="23" fillId="0" borderId="2" xfId="0" applyNumberFormat="1" applyFont="1" applyBorder="1" applyAlignment="1">
      <alignment horizontal="center" vertical="center" wrapText="1"/>
    </xf>
    <xf numFmtId="0" fontId="24" fillId="0" borderId="2" xfId="8" applyFont="1" applyBorder="1" applyAlignment="1">
      <alignment horizontal="left" vertical="center" wrapText="1"/>
    </xf>
    <xf numFmtId="0" fontId="23" fillId="0" borderId="2" xfId="8" applyFont="1" applyBorder="1" applyAlignment="1">
      <alignment vertical="center"/>
    </xf>
    <xf numFmtId="0" fontId="23" fillId="0" borderId="0" xfId="8" applyFont="1" applyAlignment="1">
      <alignment vertical="center"/>
    </xf>
    <xf numFmtId="0" fontId="19" fillId="0" borderId="0" xfId="8" applyFont="1" applyAlignment="1">
      <alignment vertical="center"/>
    </xf>
    <xf numFmtId="0" fontId="11" fillId="0" borderId="1" xfId="8" applyFont="1" applyBorder="1" applyAlignment="1">
      <alignment vertical="center" wrapText="1"/>
    </xf>
    <xf numFmtId="0" fontId="11" fillId="0" borderId="1" xfId="8" applyFont="1" applyBorder="1" applyAlignment="1">
      <alignment horizontal="center" vertical="center" wrapText="1"/>
    </xf>
    <xf numFmtId="0" fontId="23" fillId="0" borderId="2" xfId="4" applyFont="1" applyBorder="1" applyAlignment="1">
      <alignment horizontal="center" vertical="center" wrapText="1"/>
    </xf>
    <xf numFmtId="0" fontId="23" fillId="0" borderId="2" xfId="10" applyFont="1" applyBorder="1" applyAlignment="1">
      <alignment horizontal="left" vertical="center" wrapText="1"/>
    </xf>
    <xf numFmtId="0" fontId="23" fillId="0" borderId="2" xfId="10" applyFont="1" applyBorder="1" applyAlignment="1">
      <alignment horizontal="center" vertical="center" wrapText="1"/>
    </xf>
    <xf numFmtId="43" fontId="23" fillId="0" borderId="2" xfId="4" applyNumberFormat="1" applyFont="1" applyBorder="1" applyAlignment="1">
      <alignment horizontal="center" vertical="center" wrapText="1"/>
    </xf>
    <xf numFmtId="3" fontId="23" fillId="0" borderId="2" xfId="1" applyNumberFormat="1" applyFont="1" applyFill="1" applyBorder="1" applyAlignment="1">
      <alignment horizontal="right" vertical="center" wrapText="1"/>
    </xf>
    <xf numFmtId="1" fontId="23" fillId="0" borderId="2" xfId="12" applyNumberFormat="1" applyFont="1" applyBorder="1" applyAlignment="1">
      <alignment horizontal="left" vertical="center" wrapText="1"/>
    </xf>
    <xf numFmtId="49" fontId="23" fillId="0" borderId="2" xfId="12" applyNumberFormat="1" applyFont="1" applyBorder="1" applyAlignment="1">
      <alignment horizontal="center" vertical="center" wrapText="1"/>
    </xf>
    <xf numFmtId="43" fontId="23" fillId="0" borderId="2" xfId="4" applyNumberFormat="1" applyFont="1" applyBorder="1" applyAlignment="1">
      <alignment horizontal="right" vertical="center" wrapText="1"/>
    </xf>
    <xf numFmtId="3" fontId="23" fillId="0" borderId="2" xfId="1" applyNumberFormat="1" applyFont="1" applyFill="1" applyBorder="1" applyAlignment="1">
      <alignment horizontal="right" vertical="center"/>
    </xf>
    <xf numFmtId="4" fontId="23" fillId="0" borderId="2" xfId="0" applyNumberFormat="1" applyFont="1" applyBorder="1" applyAlignment="1">
      <alignment horizontal="center" vertical="center" wrapText="1"/>
    </xf>
    <xf numFmtId="3" fontId="23" fillId="0" borderId="2" xfId="12" applyNumberFormat="1" applyFont="1" applyBorder="1" applyAlignment="1">
      <alignment horizontal="right" vertical="center" wrapText="1"/>
    </xf>
    <xf numFmtId="175" fontId="23" fillId="0" borderId="2" xfId="1" quotePrefix="1" applyNumberFormat="1" applyFont="1" applyFill="1" applyBorder="1" applyAlignment="1">
      <alignment horizontal="right" vertical="center" wrapText="1"/>
    </xf>
    <xf numFmtId="3" fontId="23" fillId="0" borderId="2" xfId="0" quotePrefix="1" applyNumberFormat="1" applyFont="1" applyBorder="1" applyAlignment="1">
      <alignment horizontal="right" vertical="center" wrapText="1"/>
    </xf>
    <xf numFmtId="0" fontId="23" fillId="0" borderId="2" xfId="10" applyFont="1" applyBorder="1" applyAlignment="1">
      <alignment horizontal="right" vertical="center" wrapText="1"/>
    </xf>
    <xf numFmtId="3" fontId="23" fillId="0" borderId="2" xfId="0" applyNumberFormat="1" applyFont="1" applyBorder="1" applyAlignment="1">
      <alignment horizontal="right" vertical="center" wrapText="1"/>
    </xf>
    <xf numFmtId="3" fontId="23" fillId="0" borderId="2" xfId="11" applyNumberFormat="1" applyFont="1" applyBorder="1" applyAlignment="1">
      <alignment horizontal="right" vertical="center" wrapText="1"/>
    </xf>
    <xf numFmtId="3" fontId="23" fillId="0" borderId="2" xfId="13" applyNumberFormat="1" applyFont="1" applyBorder="1" applyAlignment="1">
      <alignment horizontal="right" vertical="center" wrapText="1"/>
    </xf>
    <xf numFmtId="0" fontId="23" fillId="0" borderId="2" xfId="0" quotePrefix="1" applyFont="1" applyBorder="1" applyAlignment="1">
      <alignment horizontal="center" vertical="center" wrapText="1"/>
    </xf>
    <xf numFmtId="0" fontId="23" fillId="0" borderId="2" xfId="12" applyFont="1" applyBorder="1" applyAlignment="1">
      <alignment horizontal="left" vertical="center" wrapText="1"/>
    </xf>
    <xf numFmtId="3" fontId="23" fillId="0" borderId="2" xfId="1" quotePrefix="1" applyNumberFormat="1" applyFont="1" applyFill="1" applyBorder="1" applyAlignment="1">
      <alignment horizontal="right" vertical="center" wrapText="1"/>
    </xf>
    <xf numFmtId="3" fontId="23" fillId="0" borderId="2" xfId="14" applyNumberFormat="1" applyFont="1" applyFill="1" applyBorder="1" applyAlignment="1">
      <alignment horizontal="right" vertical="center"/>
    </xf>
    <xf numFmtId="0" fontId="23" fillId="0" borderId="2" xfId="3" applyFont="1" applyBorder="1" applyAlignment="1">
      <alignment vertical="center" wrapText="1" readingOrder="1"/>
    </xf>
    <xf numFmtId="3" fontId="23" fillId="0" borderId="2" xfId="3" applyNumberFormat="1" applyFont="1" applyBorder="1" applyAlignment="1">
      <alignment horizontal="center" vertical="center" wrapText="1"/>
    </xf>
    <xf numFmtId="3" fontId="23" fillId="0" borderId="2" xfId="13" applyNumberFormat="1" applyFont="1" applyBorder="1" applyAlignment="1">
      <alignment horizontal="right" vertical="center"/>
    </xf>
    <xf numFmtId="0" fontId="23" fillId="0" borderId="2" xfId="22" applyFont="1" applyBorder="1" applyAlignment="1">
      <alignment horizontal="left" vertical="center" wrapText="1"/>
    </xf>
    <xf numFmtId="0" fontId="23" fillId="0" borderId="2" xfId="7" applyNumberFormat="1" applyFont="1" applyFill="1" applyBorder="1" applyAlignment="1">
      <alignment horizontal="center" vertical="center" wrapText="1"/>
    </xf>
    <xf numFmtId="3" fontId="23" fillId="0" borderId="2" xfId="2" applyNumberFormat="1" applyFont="1" applyBorder="1" applyAlignment="1">
      <alignment horizontal="right" vertical="center" wrapText="1"/>
    </xf>
    <xf numFmtId="49" fontId="23" fillId="0" borderId="2" xfId="11" applyNumberFormat="1" applyFont="1" applyBorder="1" applyAlignment="1">
      <alignment horizontal="center" vertical="center" wrapText="1"/>
    </xf>
    <xf numFmtId="49" fontId="23" fillId="0" borderId="2" xfId="21" applyNumberFormat="1" applyFont="1" applyBorder="1" applyAlignment="1">
      <alignment horizontal="left" vertical="center" wrapText="1"/>
    </xf>
    <xf numFmtId="49" fontId="23" fillId="0" borderId="2" xfId="9" applyNumberFormat="1" applyFont="1" applyFill="1" applyBorder="1" applyAlignment="1">
      <alignment horizontal="center" vertical="center" wrapText="1"/>
    </xf>
    <xf numFmtId="175" fontId="23" fillId="0" borderId="2" xfId="21" applyNumberFormat="1" applyFont="1" applyBorder="1" applyAlignment="1">
      <alignment horizontal="right" vertical="center" wrapText="1"/>
    </xf>
    <xf numFmtId="3" fontId="23" fillId="0" borderId="2" xfId="7" applyNumberFormat="1" applyFont="1" applyFill="1" applyBorder="1" applyAlignment="1">
      <alignment vertical="center" wrapText="1"/>
    </xf>
    <xf numFmtId="3" fontId="23" fillId="0" borderId="2" xfId="15" applyNumberFormat="1" applyFont="1" applyFill="1" applyBorder="1" applyAlignment="1">
      <alignment horizontal="right" vertical="center" wrapText="1"/>
    </xf>
    <xf numFmtId="3" fontId="23" fillId="0" borderId="2" xfId="14" applyNumberFormat="1" applyFont="1" applyFill="1" applyBorder="1" applyAlignment="1">
      <alignment horizontal="right" vertical="center" wrapText="1"/>
    </xf>
    <xf numFmtId="3" fontId="23" fillId="0" borderId="2" xfId="2" applyNumberFormat="1" applyFont="1" applyBorder="1" applyAlignment="1">
      <alignment vertical="center" wrapText="1"/>
    </xf>
    <xf numFmtId="0" fontId="23" fillId="0" borderId="2" xfId="10" applyFont="1" applyBorder="1" applyAlignment="1">
      <alignment vertical="center" wrapText="1"/>
    </xf>
    <xf numFmtId="4" fontId="23" fillId="0" borderId="2" xfId="22" applyNumberFormat="1" applyFont="1" applyBorder="1" applyAlignment="1">
      <alignment horizontal="center" vertical="center" wrapText="1"/>
    </xf>
    <xf numFmtId="3" fontId="23" fillId="0" borderId="2" xfId="7" applyNumberFormat="1" applyFont="1" applyFill="1" applyBorder="1" applyAlignment="1">
      <alignment horizontal="right" vertical="center" wrapText="1"/>
    </xf>
    <xf numFmtId="0" fontId="23" fillId="0" borderId="2" xfId="6" applyFont="1" applyBorder="1" applyAlignment="1">
      <alignment vertical="center" wrapText="1"/>
    </xf>
    <xf numFmtId="0" fontId="23" fillId="0" borderId="2" xfId="6" quotePrefix="1" applyFont="1" applyBorder="1" applyAlignment="1">
      <alignment horizontal="center" vertical="center" wrapText="1"/>
    </xf>
    <xf numFmtId="3" fontId="23" fillId="0" borderId="2" xfId="6" applyNumberFormat="1" applyFont="1" applyBorder="1" applyAlignment="1">
      <alignment horizontal="right" vertical="center" wrapText="1"/>
    </xf>
    <xf numFmtId="0" fontId="23" fillId="0" borderId="2" xfId="11" applyFont="1" applyBorder="1" applyAlignment="1">
      <alignment horizontal="left" vertical="center" wrapText="1"/>
    </xf>
    <xf numFmtId="0" fontId="23" fillId="0" borderId="2" xfId="11" applyFont="1" applyBorder="1" applyAlignment="1">
      <alignment horizontal="center" vertical="center" wrapText="1"/>
    </xf>
    <xf numFmtId="0" fontId="23" fillId="0" borderId="2" xfId="8" quotePrefix="1" applyFont="1" applyBorder="1" applyAlignment="1">
      <alignment horizontal="center" vertical="center" wrapText="1"/>
    </xf>
    <xf numFmtId="0" fontId="23" fillId="0" borderId="2" xfId="8" applyFont="1" applyBorder="1" applyAlignment="1">
      <alignment horizontal="right" vertical="center" wrapText="1"/>
    </xf>
    <xf numFmtId="3" fontId="23" fillId="0" borderId="2" xfId="9" applyNumberFormat="1" applyFont="1" applyFill="1" applyBorder="1" applyAlignment="1">
      <alignment horizontal="right" vertical="center"/>
    </xf>
    <xf numFmtId="0" fontId="23" fillId="0" borderId="2" xfId="17" applyFont="1" applyBorder="1" applyAlignment="1">
      <alignment horizontal="left" vertical="center" wrapText="1"/>
    </xf>
    <xf numFmtId="176" fontId="23" fillId="0" borderId="2" xfId="16" applyNumberFormat="1" applyFont="1" applyBorder="1" applyAlignment="1">
      <alignment vertical="center" wrapText="1"/>
    </xf>
    <xf numFmtId="1" fontId="23" fillId="0" borderId="2" xfId="2" applyNumberFormat="1" applyFont="1" applyBorder="1" applyAlignment="1">
      <alignment horizontal="left" vertical="center" wrapText="1"/>
    </xf>
    <xf numFmtId="4" fontId="23" fillId="0" borderId="2" xfId="18" applyNumberFormat="1" applyFont="1" applyBorder="1" applyAlignment="1">
      <alignment horizontal="center" vertical="center" wrapText="1"/>
    </xf>
    <xf numFmtId="3" fontId="23" fillId="0" borderId="2" xfId="18" applyNumberFormat="1" applyFont="1" applyBorder="1" applyAlignment="1">
      <alignment horizontal="right" vertical="center" wrapText="1"/>
    </xf>
    <xf numFmtId="3" fontId="23" fillId="0" borderId="2" xfId="6" applyNumberFormat="1" applyFont="1" applyBorder="1" applyAlignment="1">
      <alignment horizontal="center" vertical="center" wrapText="1"/>
    </xf>
    <xf numFmtId="0" fontId="23" fillId="0" borderId="2" xfId="17" applyFont="1" applyBorder="1" applyAlignment="1">
      <alignment vertical="center" wrapText="1"/>
    </xf>
    <xf numFmtId="175" fontId="23" fillId="0" borderId="2" xfId="9" applyNumberFormat="1" applyFont="1" applyFill="1" applyBorder="1" applyAlignment="1">
      <alignment horizontal="center" vertical="center" wrapText="1"/>
    </xf>
    <xf numFmtId="4" fontId="23" fillId="0" borderId="2" xfId="2" applyNumberFormat="1" applyFont="1" applyBorder="1" applyAlignment="1">
      <alignment horizontal="left" vertical="center" wrapText="1"/>
    </xf>
    <xf numFmtId="175" fontId="23" fillId="0" borderId="2" xfId="19" applyNumberFormat="1" applyFont="1" applyFill="1" applyBorder="1" applyAlignment="1">
      <alignment horizontal="center" vertical="center" wrapText="1"/>
    </xf>
    <xf numFmtId="3" fontId="23" fillId="0" borderId="2" xfId="19" applyNumberFormat="1" applyFont="1" applyFill="1" applyBorder="1" applyAlignment="1">
      <alignment horizontal="right" vertical="center"/>
    </xf>
    <xf numFmtId="3" fontId="23" fillId="0" borderId="2" xfId="3" applyNumberFormat="1" applyFont="1" applyBorder="1" applyAlignment="1">
      <alignment horizontal="right" vertical="center" wrapText="1"/>
    </xf>
    <xf numFmtId="4" fontId="23" fillId="0" borderId="2" xfId="23" quotePrefix="1" applyNumberFormat="1" applyFont="1" applyBorder="1" applyAlignment="1">
      <alignment horizontal="center" vertical="center" wrapText="1"/>
    </xf>
    <xf numFmtId="4" fontId="23" fillId="0" borderId="2" xfId="23" applyNumberFormat="1" applyFont="1" applyBorder="1" applyAlignment="1">
      <alignment horizontal="center" vertical="center" wrapText="1"/>
    </xf>
    <xf numFmtId="3" fontId="23" fillId="0" borderId="2" xfId="24" applyNumberFormat="1" applyFont="1" applyFill="1" applyBorder="1" applyAlignment="1">
      <alignment horizontal="right" vertical="center"/>
    </xf>
    <xf numFmtId="0" fontId="23" fillId="0" borderId="2" xfId="20" applyFont="1" applyBorder="1" applyAlignment="1">
      <alignment vertical="center" wrapText="1"/>
    </xf>
    <xf numFmtId="49" fontId="23" fillId="0" borderId="2" xfId="3" quotePrefix="1" applyNumberFormat="1" applyFont="1" applyBorder="1" applyAlignment="1">
      <alignment horizontal="center" vertical="center" wrapText="1"/>
    </xf>
    <xf numFmtId="3" fontId="23" fillId="0" borderId="2" xfId="20" applyNumberFormat="1" applyFont="1" applyBorder="1" applyAlignment="1">
      <alignment horizontal="right" vertical="center" wrapText="1"/>
    </xf>
    <xf numFmtId="0" fontId="23" fillId="0" borderId="2" xfId="3" applyFont="1" applyBorder="1" applyAlignment="1">
      <alignment horizontal="left" vertical="center" wrapText="1" readingOrder="1"/>
    </xf>
    <xf numFmtId="0" fontId="23" fillId="0" borderId="2" xfId="6" applyFont="1" applyBorder="1" applyAlignment="1">
      <alignment horizontal="center" vertical="center" wrapText="1"/>
    </xf>
    <xf numFmtId="0" fontId="23" fillId="0" borderId="2" xfId="20" applyFont="1" applyBorder="1" applyAlignment="1">
      <alignment horizontal="left" vertical="center" wrapText="1"/>
    </xf>
    <xf numFmtId="3" fontId="23" fillId="0" borderId="2" xfId="9" quotePrefix="1" applyNumberFormat="1" applyFont="1" applyFill="1" applyBorder="1" applyAlignment="1">
      <alignment horizontal="center" vertical="center" wrapText="1"/>
    </xf>
    <xf numFmtId="0" fontId="23" fillId="0" borderId="2" xfId="25" applyFont="1" applyBorder="1" applyAlignment="1">
      <alignment horizontal="left" vertical="center" wrapText="1"/>
    </xf>
    <xf numFmtId="3" fontId="23" fillId="0" borderId="2" xfId="26" quotePrefix="1" applyNumberFormat="1" applyFont="1" applyFill="1" applyBorder="1" applyAlignment="1">
      <alignment horizontal="center" vertical="center" wrapText="1"/>
    </xf>
    <xf numFmtId="3" fontId="23" fillId="0" borderId="2" xfId="3" applyNumberFormat="1" applyFont="1" applyBorder="1" applyAlignment="1">
      <alignment vertical="center" wrapText="1"/>
    </xf>
    <xf numFmtId="0" fontId="23" fillId="0" borderId="2" xfId="3" quotePrefix="1" applyFont="1" applyBorder="1" applyAlignment="1">
      <alignment horizontal="center" vertical="center" wrapText="1"/>
    </xf>
    <xf numFmtId="0" fontId="23" fillId="0" borderId="2" xfId="6" applyFont="1" applyBorder="1" applyAlignment="1">
      <alignment horizontal="left" vertical="center" wrapText="1"/>
    </xf>
    <xf numFmtId="0" fontId="23" fillId="0" borderId="2" xfId="25" applyFont="1" applyBorder="1" applyAlignment="1">
      <alignment horizontal="center" vertical="center" wrapText="1"/>
    </xf>
    <xf numFmtId="0" fontId="23" fillId="0" borderId="2" xfId="5" applyFont="1" applyBorder="1" applyAlignment="1">
      <alignment vertical="center" wrapText="1"/>
    </xf>
    <xf numFmtId="0" fontId="23" fillId="0" borderId="2" xfId="5" applyFont="1" applyBorder="1" applyAlignment="1">
      <alignment horizontal="left" vertical="center" wrapText="1"/>
    </xf>
    <xf numFmtId="1" fontId="23" fillId="0" borderId="2" xfId="2" applyNumberFormat="1" applyFont="1" applyBorder="1" applyAlignment="1">
      <alignment horizontal="right" vertical="center"/>
    </xf>
    <xf numFmtId="3" fontId="23" fillId="0" borderId="2" xfId="27" applyNumberFormat="1" applyFont="1" applyBorder="1" applyAlignment="1">
      <alignment horizontal="right" vertical="center" wrapText="1"/>
    </xf>
    <xf numFmtId="3" fontId="23" fillId="0" borderId="2" xfId="0" applyNumberFormat="1" applyFont="1" applyBorder="1" applyAlignment="1">
      <alignment horizontal="right" vertical="center"/>
    </xf>
    <xf numFmtId="0" fontId="23" fillId="0" borderId="2" xfId="0" applyFont="1" applyBorder="1" applyAlignment="1">
      <alignment horizontal="right" vertical="center"/>
    </xf>
    <xf numFmtId="49" fontId="24" fillId="0" borderId="2" xfId="11" applyNumberFormat="1" applyFont="1" applyBorder="1" applyAlignment="1">
      <alignment horizontal="center" vertical="center" wrapText="1"/>
    </xf>
    <xf numFmtId="3" fontId="24" fillId="0" borderId="2" xfId="3" applyNumberFormat="1" applyFont="1" applyBorder="1" applyAlignment="1">
      <alignment horizontal="center" vertical="center" wrapText="1"/>
    </xf>
    <xf numFmtId="3" fontId="24" fillId="0" borderId="2" xfId="1" applyNumberFormat="1" applyFont="1" applyFill="1" applyBorder="1" applyAlignment="1">
      <alignment horizontal="right" vertical="center" wrapText="1"/>
    </xf>
    <xf numFmtId="1" fontId="24" fillId="0" borderId="2" xfId="2" applyNumberFormat="1" applyFont="1" applyBorder="1" applyAlignment="1">
      <alignment horizontal="center" vertical="center" wrapText="1"/>
    </xf>
    <xf numFmtId="1" fontId="24" fillId="0" borderId="2" xfId="2" applyNumberFormat="1" applyFont="1" applyBorder="1" applyAlignment="1">
      <alignment horizontal="right" vertical="center"/>
    </xf>
    <xf numFmtId="4" fontId="24" fillId="0" borderId="2" xfId="8" applyNumberFormat="1" applyFont="1" applyBorder="1" applyAlignment="1">
      <alignment horizontal="center" vertical="center" wrapText="1"/>
    </xf>
    <xf numFmtId="4" fontId="24" fillId="0" borderId="2" xfId="8" applyNumberFormat="1" applyFont="1" applyBorder="1" applyAlignment="1">
      <alignment horizontal="right" vertical="center" wrapText="1"/>
    </xf>
    <xf numFmtId="170" fontId="23" fillId="0" borderId="2" xfId="1" applyFont="1" applyFill="1" applyBorder="1" applyAlignment="1">
      <alignment horizontal="center" vertical="center"/>
    </xf>
    <xf numFmtId="170" fontId="23" fillId="0" borderId="2" xfId="1" quotePrefix="1" applyFont="1" applyFill="1" applyBorder="1" applyAlignment="1">
      <alignment horizontal="center" vertical="center"/>
    </xf>
    <xf numFmtId="1" fontId="27" fillId="0" borderId="2" xfId="2" applyNumberFormat="1" applyFont="1" applyBorder="1" applyAlignment="1">
      <alignment horizontal="center" vertical="center"/>
    </xf>
    <xf numFmtId="3" fontId="27" fillId="0" borderId="2" xfId="2" applyNumberFormat="1" applyFont="1" applyBorder="1" applyAlignment="1">
      <alignment vertical="center" wrapText="1"/>
    </xf>
    <xf numFmtId="1" fontId="27" fillId="0" borderId="2" xfId="2" applyNumberFormat="1" applyFont="1" applyBorder="1" applyAlignment="1">
      <alignment horizontal="center" vertical="center" wrapText="1"/>
    </xf>
    <xf numFmtId="3" fontId="27" fillId="0" borderId="2" xfId="2" applyNumberFormat="1" applyFont="1" applyBorder="1" applyAlignment="1">
      <alignment horizontal="center" vertical="center" wrapText="1"/>
    </xf>
    <xf numFmtId="175" fontId="27" fillId="0" borderId="2" xfId="1" applyNumberFormat="1" applyFont="1" applyFill="1" applyBorder="1" applyAlignment="1">
      <alignment vertical="center"/>
    </xf>
    <xf numFmtId="3" fontId="27" fillId="0" borderId="2" xfId="9" applyNumberFormat="1" applyFont="1" applyFill="1" applyBorder="1" applyAlignment="1">
      <alignment horizontal="right" vertical="center"/>
    </xf>
    <xf numFmtId="3" fontId="27" fillId="0" borderId="2" xfId="2" quotePrefix="1" applyNumberFormat="1" applyFont="1" applyBorder="1" applyAlignment="1">
      <alignment horizontal="center" vertical="center" wrapText="1"/>
    </xf>
    <xf numFmtId="175" fontId="27" fillId="0" borderId="2" xfId="1" applyNumberFormat="1" applyFont="1" applyFill="1" applyBorder="1" applyAlignment="1">
      <alignment horizontal="center" vertical="center" wrapText="1"/>
    </xf>
    <xf numFmtId="0" fontId="27" fillId="0" borderId="2" xfId="5" applyFont="1" applyBorder="1" applyAlignment="1">
      <alignment vertical="center" wrapText="1"/>
    </xf>
    <xf numFmtId="3" fontId="27" fillId="0" borderId="2" xfId="1" applyNumberFormat="1" applyFont="1" applyFill="1" applyBorder="1" applyAlignment="1">
      <alignment horizontal="right" vertical="center" wrapText="1"/>
    </xf>
    <xf numFmtId="170" fontId="27" fillId="0" borderId="2" xfId="1" applyFont="1" applyFill="1" applyBorder="1" applyAlignment="1">
      <alignment horizontal="center" vertical="center" wrapText="1"/>
    </xf>
    <xf numFmtId="0" fontId="27" fillId="0" borderId="2" xfId="37" applyFont="1" applyBorder="1" applyAlignment="1">
      <alignment vertical="center" wrapText="1"/>
    </xf>
    <xf numFmtId="0" fontId="27" fillId="0" borderId="2" xfId="37" applyFont="1" applyBorder="1" applyAlignment="1">
      <alignment horizontal="left" vertical="center" wrapText="1"/>
    </xf>
    <xf numFmtId="1" fontId="28" fillId="0" borderId="2" xfId="2" applyNumberFormat="1" applyFont="1" applyBorder="1" applyAlignment="1">
      <alignment horizontal="center" vertical="center"/>
    </xf>
    <xf numFmtId="0" fontId="28" fillId="0" borderId="2" xfId="37" applyFont="1" applyBorder="1" applyAlignment="1">
      <alignment horizontal="left" vertical="center" wrapText="1"/>
    </xf>
    <xf numFmtId="3" fontId="28" fillId="0" borderId="2" xfId="2" applyNumberFormat="1" applyFont="1" applyBorder="1" applyAlignment="1">
      <alignment horizontal="center" vertical="center" wrapText="1"/>
    </xf>
    <xf numFmtId="3" fontId="28" fillId="0" borderId="2" xfId="1" applyNumberFormat="1" applyFont="1" applyFill="1" applyBorder="1" applyAlignment="1">
      <alignment horizontal="right" vertical="center" wrapText="1"/>
    </xf>
    <xf numFmtId="3" fontId="28" fillId="0" borderId="2" xfId="2" quotePrefix="1" applyNumberFormat="1" applyFont="1" applyBorder="1" applyAlignment="1">
      <alignment horizontal="center" vertical="center" wrapText="1"/>
    </xf>
    <xf numFmtId="3" fontId="28" fillId="0" borderId="2" xfId="9" applyNumberFormat="1" applyFont="1" applyFill="1" applyBorder="1" applyAlignment="1">
      <alignment horizontal="right" vertical="center"/>
    </xf>
    <xf numFmtId="175" fontId="23" fillId="0" borderId="2" xfId="1" applyNumberFormat="1" applyFont="1" applyFill="1" applyBorder="1" applyAlignment="1">
      <alignment horizontal="right" vertical="center"/>
    </xf>
    <xf numFmtId="0" fontId="23" fillId="0" borderId="2" xfId="25" applyFont="1" applyBorder="1" applyAlignment="1">
      <alignment horizontal="right" vertical="center" wrapText="1"/>
    </xf>
    <xf numFmtId="0" fontId="23" fillId="0" borderId="2" xfId="6" applyFont="1" applyBorder="1" applyAlignment="1">
      <alignment horizontal="right" vertical="center" wrapText="1"/>
    </xf>
    <xf numFmtId="3" fontId="23" fillId="0" borderId="6" xfId="9" applyNumberFormat="1" applyFont="1" applyFill="1" applyBorder="1" applyAlignment="1">
      <alignment horizontal="right" vertical="center"/>
    </xf>
    <xf numFmtId="0" fontId="11" fillId="0" borderId="2" xfId="8" applyFont="1" applyBorder="1" applyAlignment="1">
      <alignment vertical="center" wrapText="1"/>
    </xf>
    <xf numFmtId="0" fontId="17" fillId="0" borderId="2" xfId="8" applyFont="1" applyBorder="1" applyAlignment="1">
      <alignment vertical="center" wrapText="1"/>
    </xf>
    <xf numFmtId="0" fontId="11" fillId="0" borderId="2" xfId="8" applyFont="1" applyBorder="1" applyAlignment="1">
      <alignment vertical="center"/>
    </xf>
    <xf numFmtId="0" fontId="24" fillId="0" borderId="2" xfId="4" applyFont="1" applyBorder="1" applyAlignment="1">
      <alignment vertical="center"/>
    </xf>
    <xf numFmtId="0" fontId="23" fillId="0" borderId="2" xfId="2" applyFont="1" applyBorder="1" applyAlignment="1">
      <alignment vertical="center" wrapText="1"/>
    </xf>
    <xf numFmtId="0" fontId="23" fillId="0" borderId="2" xfId="21" applyFont="1" applyBorder="1" applyAlignment="1">
      <alignment vertical="center" wrapText="1"/>
    </xf>
    <xf numFmtId="3" fontId="24" fillId="0" borderId="2" xfId="2" applyNumberFormat="1" applyFont="1" applyBorder="1" applyAlignment="1">
      <alignment vertical="center" wrapText="1"/>
    </xf>
    <xf numFmtId="0" fontId="23" fillId="0" borderId="2" xfId="12" applyFont="1" applyBorder="1" applyAlignment="1">
      <alignment vertical="center" wrapText="1"/>
    </xf>
    <xf numFmtId="0" fontId="23" fillId="0" borderId="2" xfId="16" applyFont="1" applyBorder="1" applyAlignment="1">
      <alignment horizontal="center" vertical="center" wrapText="1"/>
    </xf>
    <xf numFmtId="1" fontId="23" fillId="0" borderId="2" xfId="2" applyNumberFormat="1" applyFont="1" applyBorder="1" applyAlignment="1">
      <alignment vertical="center"/>
    </xf>
    <xf numFmtId="0" fontId="19" fillId="0" borderId="2" xfId="8" applyFont="1" applyBorder="1" applyAlignment="1">
      <alignment vertical="center"/>
    </xf>
    <xf numFmtId="0" fontId="24" fillId="0" borderId="0" xfId="8" applyFont="1" applyAlignment="1">
      <alignment vertical="center"/>
    </xf>
    <xf numFmtId="0" fontId="24" fillId="0" borderId="2" xfId="8" applyFont="1" applyBorder="1" applyAlignment="1">
      <alignment vertical="center"/>
    </xf>
    <xf numFmtId="0" fontId="23" fillId="0" borderId="0" xfId="8" applyFont="1" applyAlignment="1">
      <alignment horizontal="center" vertical="center"/>
    </xf>
    <xf numFmtId="0" fontId="23" fillId="0" borderId="2" xfId="8" applyFont="1" applyBorder="1" applyAlignment="1">
      <alignment horizontal="center" vertical="center"/>
    </xf>
    <xf numFmtId="0" fontId="25" fillId="0" borderId="0" xfId="0" applyFont="1" applyAlignment="1">
      <alignment vertical="center"/>
    </xf>
    <xf numFmtId="0" fontId="25" fillId="0" borderId="2" xfId="0" applyFont="1" applyBorder="1" applyAlignment="1">
      <alignment vertical="center"/>
    </xf>
    <xf numFmtId="0" fontId="23" fillId="0" borderId="0" xfId="12" applyFont="1" applyAlignment="1">
      <alignment vertical="center"/>
    </xf>
    <xf numFmtId="0" fontId="23" fillId="0" borderId="2" xfId="12" applyFont="1" applyBorder="1" applyAlignment="1">
      <alignment vertical="center"/>
    </xf>
    <xf numFmtId="0" fontId="24" fillId="0" borderId="0" xfId="21" applyFont="1" applyAlignment="1">
      <alignment vertical="center" wrapText="1"/>
    </xf>
    <xf numFmtId="0" fontId="24" fillId="0" borderId="2" xfId="21" applyFont="1" applyBorder="1" applyAlignment="1">
      <alignment vertical="center" wrapText="1"/>
    </xf>
    <xf numFmtId="0" fontId="25" fillId="0" borderId="0" xfId="6" applyFont="1" applyAlignment="1">
      <alignment vertical="center"/>
    </xf>
    <xf numFmtId="0" fontId="25" fillId="0" borderId="2" xfId="6" applyFont="1" applyBorder="1" applyAlignment="1">
      <alignment vertical="center"/>
    </xf>
    <xf numFmtId="0" fontId="23" fillId="0" borderId="0" xfId="0" applyFont="1" applyAlignment="1">
      <alignment vertical="center"/>
    </xf>
    <xf numFmtId="0" fontId="23" fillId="0" borderId="2" xfId="0" applyFont="1" applyBorder="1" applyAlignment="1">
      <alignment vertical="center"/>
    </xf>
    <xf numFmtId="0" fontId="24" fillId="0" borderId="0" xfId="16" applyFont="1" applyAlignment="1">
      <alignment vertical="center"/>
    </xf>
    <xf numFmtId="0" fontId="24" fillId="0" borderId="2" xfId="16" applyFont="1" applyBorder="1" applyAlignment="1">
      <alignment vertical="center"/>
    </xf>
    <xf numFmtId="0" fontId="26" fillId="0" borderId="0" xfId="6" applyFont="1" applyAlignment="1">
      <alignment vertical="center"/>
    </xf>
    <xf numFmtId="0" fontId="26" fillId="0" borderId="2" xfId="6" applyFont="1" applyBorder="1" applyAlignment="1">
      <alignment vertical="center"/>
    </xf>
    <xf numFmtId="0" fontId="23" fillId="0" borderId="0" xfId="6" applyFont="1" applyAlignment="1">
      <alignment vertical="center"/>
    </xf>
    <xf numFmtId="0" fontId="23" fillId="0" borderId="2" xfId="6" applyFont="1" applyBorder="1" applyAlignment="1">
      <alignment vertical="center"/>
    </xf>
    <xf numFmtId="0" fontId="24" fillId="0" borderId="0" xfId="6" applyFont="1" applyAlignment="1">
      <alignment vertical="center"/>
    </xf>
    <xf numFmtId="0" fontId="24" fillId="0" borderId="2" xfId="6" applyFont="1" applyBorder="1" applyAlignment="1">
      <alignment vertical="center"/>
    </xf>
    <xf numFmtId="0" fontId="26" fillId="0" borderId="0" xfId="0" applyFont="1" applyAlignment="1">
      <alignment vertical="center"/>
    </xf>
    <xf numFmtId="0" fontId="26" fillId="0" borderId="2" xfId="0" applyFont="1" applyBorder="1" applyAlignment="1">
      <alignment vertical="center"/>
    </xf>
    <xf numFmtId="0" fontId="24" fillId="0" borderId="0" xfId="28" applyFont="1" applyAlignment="1">
      <alignment vertical="center"/>
    </xf>
    <xf numFmtId="0" fontId="24" fillId="0" borderId="2" xfId="28" applyFont="1" applyBorder="1" applyAlignment="1">
      <alignment vertical="center"/>
    </xf>
    <xf numFmtId="175" fontId="24" fillId="0" borderId="2" xfId="8" applyNumberFormat="1" applyFont="1" applyBorder="1" applyAlignment="1">
      <alignment vertical="center"/>
    </xf>
    <xf numFmtId="0" fontId="24" fillId="0" borderId="0" xfId="8" applyFont="1" applyAlignment="1">
      <alignment vertical="center" wrapText="1"/>
    </xf>
    <xf numFmtId="14" fontId="24" fillId="0" borderId="2" xfId="8" applyNumberFormat="1" applyFont="1" applyBorder="1" applyAlignment="1">
      <alignment vertical="center"/>
    </xf>
    <xf numFmtId="175" fontId="23" fillId="0" borderId="2" xfId="8" applyNumberFormat="1" applyFont="1" applyBorder="1" applyAlignment="1">
      <alignment vertical="center"/>
    </xf>
    <xf numFmtId="0" fontId="27" fillId="0" borderId="2" xfId="0" applyFont="1" applyBorder="1" applyAlignment="1">
      <alignment horizontal="left" vertical="center" wrapText="1"/>
    </xf>
    <xf numFmtId="49" fontId="11" fillId="0" borderId="0" xfId="8" applyNumberFormat="1" applyFont="1" applyAlignment="1">
      <alignment horizontal="center" vertical="center"/>
    </xf>
    <xf numFmtId="0" fontId="11" fillId="0" borderId="0" xfId="8" applyFont="1" applyAlignment="1">
      <alignment horizontal="center" vertical="center"/>
    </xf>
    <xf numFmtId="0" fontId="17" fillId="0" borderId="0" xfId="8" applyFont="1" applyAlignment="1">
      <alignment vertical="center"/>
    </xf>
    <xf numFmtId="0" fontId="17" fillId="0" borderId="2" xfId="8" applyFont="1" applyBorder="1" applyAlignment="1">
      <alignment vertical="center"/>
    </xf>
    <xf numFmtId="0" fontId="24" fillId="0" borderId="2" xfId="0" applyFont="1" applyBorder="1" applyAlignment="1">
      <alignment horizontal="center" vertical="center" wrapText="1"/>
    </xf>
    <xf numFmtId="49" fontId="24" fillId="0" borderId="2" xfId="8" applyNumberFormat="1" applyFont="1" applyBorder="1" applyAlignment="1">
      <alignment horizontal="center" vertical="center" wrapText="1"/>
    </xf>
    <xf numFmtId="0" fontId="24" fillId="0" borderId="2" xfId="8" applyFont="1" applyBorder="1" applyAlignment="1">
      <alignment horizontal="center" vertical="center" wrapText="1"/>
    </xf>
    <xf numFmtId="0" fontId="24" fillId="0" borderId="3" xfId="8" applyFont="1" applyBorder="1" applyAlignment="1">
      <alignment horizontal="center" vertical="center" wrapText="1"/>
    </xf>
    <xf numFmtId="49" fontId="17" fillId="0" borderId="0" xfId="8" applyNumberFormat="1" applyFont="1" applyAlignment="1">
      <alignment horizontal="center" vertical="center" wrapText="1"/>
    </xf>
    <xf numFmtId="178" fontId="23" fillId="0" borderId="2" xfId="9" applyNumberFormat="1" applyFont="1" applyFill="1" applyBorder="1" applyAlignment="1">
      <alignment horizontal="right" vertical="center"/>
    </xf>
    <xf numFmtId="178" fontId="23" fillId="0" borderId="2" xfId="7" applyNumberFormat="1" applyFont="1" applyFill="1" applyBorder="1" applyAlignment="1">
      <alignment horizontal="right" vertical="center" wrapText="1"/>
    </xf>
    <xf numFmtId="0" fontId="30" fillId="0" borderId="2" xfId="0" applyFont="1" applyBorder="1" applyAlignment="1">
      <alignment vertical="center" wrapText="1"/>
    </xf>
    <xf numFmtId="175" fontId="30" fillId="0" borderId="2" xfId="1" applyNumberFormat="1" applyFont="1" applyFill="1" applyBorder="1" applyAlignment="1">
      <alignment horizontal="right" vertical="center" wrapText="1"/>
    </xf>
    <xf numFmtId="49" fontId="24" fillId="0" borderId="3" xfId="8" applyNumberFormat="1" applyFont="1" applyBorder="1" applyAlignment="1">
      <alignment horizontal="center" vertical="center" wrapText="1"/>
    </xf>
    <xf numFmtId="0" fontId="24" fillId="0" borderId="3" xfId="8" applyFont="1" applyBorder="1" applyAlignment="1">
      <alignment horizontal="left" vertical="center" wrapText="1"/>
    </xf>
    <xf numFmtId="0" fontId="24" fillId="0" borderId="3" xfId="8" applyFont="1" applyBorder="1" applyAlignment="1">
      <alignment vertical="center"/>
    </xf>
    <xf numFmtId="0" fontId="29" fillId="0" borderId="2" xfId="8" applyFont="1" applyBorder="1" applyAlignment="1">
      <alignment horizontal="center" vertical="center" wrapText="1"/>
    </xf>
    <xf numFmtId="175" fontId="23" fillId="0" borderId="0" xfId="8" applyNumberFormat="1" applyFont="1" applyAlignment="1">
      <alignment vertical="center"/>
    </xf>
    <xf numFmtId="0" fontId="23" fillId="0" borderId="0" xfId="11" applyFont="1" applyAlignment="1">
      <alignment vertical="center" wrapText="1"/>
    </xf>
    <xf numFmtId="0" fontId="23" fillId="0" borderId="2" xfId="11" applyFont="1" applyBorder="1" applyAlignment="1">
      <alignment vertical="center" wrapText="1"/>
    </xf>
    <xf numFmtId="0" fontId="23" fillId="0" borderId="2" xfId="4" applyFont="1" applyBorder="1" applyAlignment="1">
      <alignment vertical="center"/>
    </xf>
    <xf numFmtId="49" fontId="23" fillId="0" borderId="2" xfId="11" applyNumberFormat="1" applyFont="1" applyBorder="1" applyAlignment="1">
      <alignment horizontal="left" vertical="center" wrapText="1"/>
    </xf>
    <xf numFmtId="49" fontId="23" fillId="0" borderId="2" xfId="11" quotePrefix="1" applyNumberFormat="1" applyFont="1" applyBorder="1" applyAlignment="1">
      <alignment horizontal="center" vertical="center" wrapText="1"/>
    </xf>
    <xf numFmtId="1" fontId="23" fillId="0" borderId="2" xfId="8" applyNumberFormat="1" applyFont="1" applyBorder="1" applyAlignment="1">
      <alignment vertical="center" wrapText="1"/>
    </xf>
    <xf numFmtId="1" fontId="23" fillId="0" borderId="2" xfId="8" applyNumberFormat="1" applyFont="1" applyBorder="1" applyAlignment="1">
      <alignment vertical="center"/>
    </xf>
    <xf numFmtId="0" fontId="24" fillId="0" borderId="2" xfId="0" applyFont="1" applyBorder="1" applyAlignment="1">
      <alignment vertical="center" wrapText="1"/>
    </xf>
    <xf numFmtId="3" fontId="24" fillId="0" borderId="2" xfId="8" applyNumberFormat="1" applyFont="1" applyBorder="1" applyAlignment="1">
      <alignment vertical="center"/>
    </xf>
    <xf numFmtId="175" fontId="24" fillId="0" borderId="2" xfId="8" applyNumberFormat="1" applyFont="1" applyBorder="1" applyAlignment="1">
      <alignment vertical="center" wrapText="1"/>
    </xf>
    <xf numFmtId="3" fontId="23" fillId="0" borderId="2" xfId="36" applyFont="1" applyBorder="1" applyAlignment="1">
      <alignment horizontal="left" vertical="center" wrapText="1"/>
    </xf>
    <xf numFmtId="175" fontId="23" fillId="0" borderId="2" xfId="8" applyNumberFormat="1" applyFont="1" applyBorder="1" applyAlignment="1">
      <alignment vertical="center" wrapText="1"/>
    </xf>
    <xf numFmtId="14" fontId="23" fillId="0" borderId="2" xfId="8" quotePrefix="1" applyNumberFormat="1" applyFont="1" applyBorder="1" applyAlignment="1">
      <alignment horizontal="center" vertical="center" wrapText="1"/>
    </xf>
    <xf numFmtId="170" fontId="23" fillId="0" borderId="2" xfId="29" applyNumberFormat="1" applyFont="1" applyBorder="1" applyAlignment="1">
      <alignment horizontal="center" vertical="center" wrapText="1"/>
    </xf>
    <xf numFmtId="3" fontId="24" fillId="0" borderId="2" xfId="9" applyNumberFormat="1" applyFont="1" applyFill="1" applyBorder="1" applyAlignment="1">
      <alignment vertical="center"/>
    </xf>
    <xf numFmtId="3" fontId="23" fillId="0" borderId="2" xfId="2" quotePrefix="1" applyNumberFormat="1" applyFont="1" applyBorder="1" applyAlignment="1">
      <alignment vertical="center" wrapText="1"/>
    </xf>
    <xf numFmtId="175" fontId="23" fillId="0" borderId="2" xfId="1" quotePrefix="1" applyNumberFormat="1" applyFont="1" applyFill="1" applyBorder="1" applyAlignment="1">
      <alignment vertical="center" wrapText="1"/>
    </xf>
    <xf numFmtId="0" fontId="23" fillId="0" borderId="2" xfId="1" applyNumberFormat="1" applyFont="1" applyFill="1" applyBorder="1" applyAlignment="1">
      <alignment horizontal="center" vertical="center" wrapText="1"/>
    </xf>
    <xf numFmtId="0" fontId="31" fillId="0" borderId="2" xfId="0" applyFont="1" applyBorder="1" applyAlignment="1">
      <alignment vertical="center" wrapText="1"/>
    </xf>
    <xf numFmtId="17" fontId="23" fillId="0" borderId="2" xfId="8" quotePrefix="1" applyNumberFormat="1" applyFont="1" applyBorder="1" applyAlignment="1">
      <alignment horizontal="center" vertical="center" wrapText="1"/>
    </xf>
    <xf numFmtId="170" fontId="23" fillId="0" borderId="2" xfId="29" applyNumberFormat="1" applyFont="1" applyBorder="1" applyAlignment="1">
      <alignment horizontal="left" vertical="center" wrapText="1"/>
    </xf>
    <xf numFmtId="0" fontId="32" fillId="0" borderId="0" xfId="0" applyFont="1" applyAlignment="1">
      <alignment vertical="center"/>
    </xf>
    <xf numFmtId="0" fontId="33" fillId="0" borderId="0" xfId="0" applyFont="1" applyAlignment="1">
      <alignment vertical="center"/>
    </xf>
    <xf numFmtId="0" fontId="33" fillId="0" borderId="2" xfId="0" applyFont="1" applyBorder="1" applyAlignment="1">
      <alignment vertical="center"/>
    </xf>
    <xf numFmtId="0" fontId="32" fillId="0" borderId="2" xfId="0" applyFont="1" applyBorder="1" applyAlignment="1">
      <alignment vertical="center"/>
    </xf>
    <xf numFmtId="180" fontId="27" fillId="0" borderId="2" xfId="1" applyNumberFormat="1" applyFont="1" applyFill="1" applyBorder="1" applyAlignment="1">
      <alignment horizontal="right" vertical="center" wrapText="1"/>
    </xf>
    <xf numFmtId="3" fontId="32" fillId="0" borderId="2" xfId="0" applyNumberFormat="1" applyFont="1" applyBorder="1" applyAlignment="1">
      <alignment vertical="center"/>
    </xf>
    <xf numFmtId="0" fontId="23" fillId="0" borderId="2" xfId="38" applyFont="1" applyBorder="1" applyAlignment="1">
      <alignment horizontal="left" vertical="center" wrapText="1"/>
    </xf>
    <xf numFmtId="0" fontId="34" fillId="0" borderId="2" xfId="0" applyFont="1" applyBorder="1" applyAlignment="1">
      <alignment vertical="center" wrapText="1"/>
    </xf>
    <xf numFmtId="175" fontId="24" fillId="0" borderId="2" xfId="1" applyNumberFormat="1" applyFont="1" applyFill="1" applyBorder="1" applyAlignment="1">
      <alignment horizontal="center" vertical="center" wrapText="1"/>
    </xf>
    <xf numFmtId="3" fontId="24" fillId="0" borderId="2" xfId="2" applyNumberFormat="1" applyFont="1" applyBorder="1" applyAlignment="1">
      <alignment horizontal="center" vertical="center" wrapText="1"/>
    </xf>
    <xf numFmtId="49" fontId="7" fillId="0" borderId="0" xfId="2" applyNumberFormat="1" applyFont="1" applyAlignment="1">
      <alignment vertical="center"/>
    </xf>
    <xf numFmtId="1" fontId="7" fillId="0" borderId="0" xfId="2" applyNumberFormat="1" applyFont="1" applyAlignment="1">
      <alignment horizontal="right" vertical="center"/>
    </xf>
    <xf numFmtId="1" fontId="7" fillId="0" borderId="0" xfId="2" applyNumberFormat="1" applyFont="1" applyAlignment="1">
      <alignment vertical="center"/>
    </xf>
    <xf numFmtId="49" fontId="7" fillId="0" borderId="0" xfId="2" applyNumberFormat="1" applyFont="1" applyAlignment="1">
      <alignment horizontal="center" vertical="center"/>
    </xf>
    <xf numFmtId="3" fontId="8" fillId="0" borderId="2" xfId="2" applyNumberFormat="1" applyFont="1" applyBorder="1" applyAlignment="1">
      <alignment horizontal="center" vertical="center" wrapText="1"/>
    </xf>
    <xf numFmtId="3" fontId="8" fillId="0" borderId="2" xfId="2" applyNumberFormat="1" applyFont="1" applyBorder="1" applyAlignment="1">
      <alignment horizontal="right" vertical="center" wrapText="1"/>
    </xf>
    <xf numFmtId="3" fontId="8" fillId="0" borderId="0" xfId="2" applyNumberFormat="1" applyFont="1" applyAlignment="1">
      <alignment horizontal="center" vertical="center" wrapText="1"/>
    </xf>
    <xf numFmtId="1" fontId="8" fillId="0" borderId="2" xfId="2" applyNumberFormat="1" applyFont="1" applyBorder="1" applyAlignment="1">
      <alignment horizontal="center" vertical="center"/>
    </xf>
    <xf numFmtId="1" fontId="8" fillId="0" borderId="2" xfId="2" applyNumberFormat="1" applyFont="1" applyBorder="1" applyAlignment="1">
      <alignment horizontal="left" vertical="center" wrapText="1"/>
    </xf>
    <xf numFmtId="1" fontId="8" fillId="0" borderId="2" xfId="2" applyNumberFormat="1" applyFont="1" applyBorder="1" applyAlignment="1">
      <alignment horizontal="center" vertical="center" wrapText="1"/>
    </xf>
    <xf numFmtId="3" fontId="8" fillId="0" borderId="2" xfId="2" quotePrefix="1" applyNumberFormat="1" applyFont="1" applyBorder="1" applyAlignment="1">
      <alignment horizontal="center" vertical="center" wrapText="1"/>
    </xf>
    <xf numFmtId="3" fontId="8" fillId="0" borderId="2" xfId="2" quotePrefix="1" applyNumberFormat="1" applyFont="1" applyBorder="1" applyAlignment="1">
      <alignment vertical="center" wrapText="1"/>
    </xf>
    <xf numFmtId="3" fontId="8" fillId="0" borderId="0" xfId="2" applyNumberFormat="1" applyFont="1" applyAlignment="1">
      <alignment vertical="center" wrapText="1"/>
    </xf>
    <xf numFmtId="3" fontId="7" fillId="0" borderId="0" xfId="2" applyNumberFormat="1" applyFont="1" applyAlignment="1">
      <alignment vertical="center" wrapText="1"/>
    </xf>
    <xf numFmtId="0" fontId="7" fillId="0" borderId="2" xfId="2" applyFont="1" applyBorder="1" applyAlignment="1">
      <alignment horizontal="center" vertical="center" wrapText="1"/>
    </xf>
    <xf numFmtId="3" fontId="7" fillId="0" borderId="2" xfId="2" quotePrefix="1" applyNumberFormat="1" applyFont="1" applyBorder="1" applyAlignment="1">
      <alignment vertical="center" wrapText="1"/>
    </xf>
    <xf numFmtId="3" fontId="7" fillId="0" borderId="2" xfId="2" applyNumberFormat="1" applyFont="1" applyBorder="1" applyAlignment="1">
      <alignment vertical="center" wrapText="1"/>
    </xf>
    <xf numFmtId="1" fontId="7" fillId="0" borderId="2" xfId="2" applyNumberFormat="1" applyFont="1" applyBorder="1" applyAlignment="1">
      <alignment horizontal="center" vertical="center"/>
    </xf>
    <xf numFmtId="1" fontId="7" fillId="0" borderId="2" xfId="2" applyNumberFormat="1" applyFont="1" applyBorder="1" applyAlignment="1">
      <alignment vertical="center" wrapText="1"/>
    </xf>
    <xf numFmtId="1" fontId="7" fillId="0" borderId="2" xfId="2" applyNumberFormat="1" applyFont="1" applyBorder="1" applyAlignment="1">
      <alignment horizontal="center" vertical="center" wrapText="1"/>
    </xf>
    <xf numFmtId="3" fontId="7" fillId="0" borderId="2" xfId="2" quotePrefix="1" applyNumberFormat="1" applyFont="1" applyBorder="1" applyAlignment="1">
      <alignment horizontal="center" vertical="center" wrapText="1"/>
    </xf>
    <xf numFmtId="3" fontId="7" fillId="2" borderId="0" xfId="2" applyNumberFormat="1" applyFont="1" applyFill="1" applyAlignment="1">
      <alignment vertical="center" wrapText="1"/>
    </xf>
    <xf numFmtId="2" fontId="7" fillId="0" borderId="2" xfId="2" quotePrefix="1" applyNumberFormat="1" applyFont="1" applyBorder="1" applyAlignment="1">
      <alignment horizontal="center" vertical="center" wrapText="1"/>
    </xf>
    <xf numFmtId="3" fontId="7" fillId="0" borderId="2" xfId="3" applyNumberFormat="1" applyFont="1" applyBorder="1" applyAlignment="1">
      <alignment horizontal="center" vertical="center" wrapText="1"/>
    </xf>
    <xf numFmtId="0" fontId="7" fillId="0" borderId="2" xfId="25" applyFont="1" applyBorder="1" applyAlignment="1">
      <alignment horizontal="left" vertical="center" wrapText="1"/>
    </xf>
    <xf numFmtId="3" fontId="7" fillId="0" borderId="2" xfId="9" quotePrefix="1" applyNumberFormat="1" applyFont="1" applyFill="1" applyBorder="1" applyAlignment="1">
      <alignment horizontal="center" vertical="center" wrapText="1"/>
    </xf>
    <xf numFmtId="0" fontId="8" fillId="0" borderId="0" xfId="28" applyFont="1"/>
    <xf numFmtId="0" fontId="8" fillId="0" borderId="2" xfId="28" applyFont="1" applyBorder="1"/>
    <xf numFmtId="49" fontId="8" fillId="0" borderId="2" xfId="2" applyNumberFormat="1" applyFont="1" applyBorder="1" applyAlignment="1">
      <alignment horizontal="center" vertical="center"/>
    </xf>
    <xf numFmtId="1" fontId="8" fillId="0" borderId="2" xfId="2" applyNumberFormat="1" applyFont="1" applyBorder="1" applyAlignment="1">
      <alignment vertical="center" wrapText="1"/>
    </xf>
    <xf numFmtId="3" fontId="7" fillId="0" borderId="2" xfId="27" applyNumberFormat="1" applyBorder="1" applyAlignment="1">
      <alignment horizontal="right" vertical="center" wrapText="1"/>
    </xf>
    <xf numFmtId="0" fontId="7" fillId="0" borderId="2" xfId="8" applyFont="1" applyBorder="1"/>
    <xf numFmtId="0" fontId="7" fillId="0" borderId="0" xfId="8" applyFont="1"/>
    <xf numFmtId="1" fontId="7" fillId="0" borderId="0" xfId="2" applyNumberFormat="1" applyFont="1" applyAlignment="1">
      <alignment horizontal="center" vertical="center"/>
    </xf>
    <xf numFmtId="1" fontId="8" fillId="0" borderId="0" xfId="2" applyNumberFormat="1" applyFont="1" applyAlignment="1">
      <alignment vertical="center"/>
    </xf>
    <xf numFmtId="0" fontId="14" fillId="0" borderId="0" xfId="0" applyFont="1"/>
    <xf numFmtId="0" fontId="14" fillId="0" borderId="0" xfId="0" applyFont="1" applyAlignment="1">
      <alignment horizontal="center" vertical="center"/>
    </xf>
    <xf numFmtId="1" fontId="8" fillId="0" borderId="0" xfId="2" applyNumberFormat="1" applyFont="1" applyAlignment="1">
      <alignment vertical="center" wrapText="1"/>
    </xf>
    <xf numFmtId="49" fontId="179" fillId="0" borderId="0" xfId="2" applyNumberFormat="1" applyFont="1" applyAlignment="1">
      <alignment vertical="center"/>
    </xf>
    <xf numFmtId="0" fontId="7" fillId="0" borderId="2" xfId="0" applyFont="1" applyBorder="1" applyAlignment="1">
      <alignment vertical="center" wrapText="1"/>
    </xf>
    <xf numFmtId="3" fontId="180" fillId="0" borderId="0" xfId="2" applyNumberFormat="1" applyFont="1" applyAlignment="1">
      <alignment vertical="center" wrapText="1"/>
    </xf>
    <xf numFmtId="175" fontId="23" fillId="0" borderId="0" xfId="1" applyNumberFormat="1" applyFont="1" applyFill="1" applyAlignment="1">
      <alignment horizontal="right" vertical="center"/>
    </xf>
    <xf numFmtId="0" fontId="23" fillId="0" borderId="2" xfId="16" applyFont="1" applyBorder="1" applyAlignment="1">
      <alignment vertical="center"/>
    </xf>
    <xf numFmtId="0" fontId="23" fillId="0" borderId="2" xfId="28" applyFont="1" applyBorder="1" applyAlignment="1">
      <alignment vertical="center"/>
    </xf>
    <xf numFmtId="3" fontId="23" fillId="0" borderId="2" xfId="8" applyNumberFormat="1" applyFont="1" applyBorder="1" applyAlignment="1">
      <alignment vertical="center"/>
    </xf>
    <xf numFmtId="0" fontId="18" fillId="0" borderId="2" xfId="8" applyFont="1" applyBorder="1" applyAlignment="1">
      <alignment vertical="center"/>
    </xf>
    <xf numFmtId="49" fontId="8" fillId="0" borderId="0" xfId="2" applyNumberFormat="1" applyFont="1" applyAlignment="1">
      <alignment horizontal="center" vertical="center"/>
    </xf>
    <xf numFmtId="0" fontId="14" fillId="0" borderId="0" xfId="0" applyFont="1" applyAlignment="1">
      <alignment horizontal="center"/>
    </xf>
    <xf numFmtId="3" fontId="19" fillId="0" borderId="2" xfId="2" applyNumberFormat="1" applyFont="1" applyBorder="1" applyAlignment="1">
      <alignment horizontal="center" vertical="center" wrapText="1"/>
    </xf>
    <xf numFmtId="1" fontId="19" fillId="0" borderId="2" xfId="2" applyNumberFormat="1" applyFont="1" applyBorder="1" applyAlignment="1">
      <alignment horizontal="center" vertical="center" wrapText="1"/>
    </xf>
    <xf numFmtId="3" fontId="18" fillId="0" borderId="2" xfId="2" applyNumberFormat="1" applyFont="1" applyBorder="1" applyAlignment="1">
      <alignment horizontal="center" vertical="center" wrapText="1"/>
    </xf>
    <xf numFmtId="3" fontId="18" fillId="0" borderId="2" xfId="14" applyNumberFormat="1" applyFont="1" applyFill="1" applyBorder="1" applyAlignment="1">
      <alignment horizontal="right" vertical="center" wrapText="1"/>
    </xf>
    <xf numFmtId="3" fontId="18" fillId="0" borderId="2" xfId="14" applyNumberFormat="1" applyFont="1" applyFill="1" applyBorder="1" applyAlignment="1">
      <alignment horizontal="center" vertical="center" wrapText="1"/>
    </xf>
    <xf numFmtId="0" fontId="18" fillId="0" borderId="0" xfId="0" applyFont="1" applyAlignment="1">
      <alignment wrapText="1"/>
    </xf>
    <xf numFmtId="3" fontId="19" fillId="0" borderId="2" xfId="14" applyNumberFormat="1" applyFont="1" applyFill="1" applyBorder="1" applyAlignment="1">
      <alignment horizontal="right" vertical="center" wrapText="1"/>
    </xf>
    <xf numFmtId="49" fontId="18" fillId="0" borderId="0" xfId="2" applyNumberFormat="1" applyFont="1" applyAlignment="1">
      <alignment vertical="center" wrapText="1"/>
    </xf>
    <xf numFmtId="175" fontId="18" fillId="0" borderId="0" xfId="2" applyNumberFormat="1" applyFont="1" applyAlignment="1">
      <alignment vertical="center" wrapText="1"/>
    </xf>
    <xf numFmtId="49" fontId="18" fillId="0" borderId="0" xfId="2" applyNumberFormat="1" applyFont="1" applyAlignment="1">
      <alignment horizontal="center" vertical="center" wrapText="1"/>
    </xf>
    <xf numFmtId="175" fontId="18" fillId="0" borderId="0" xfId="2" applyNumberFormat="1" applyFont="1" applyAlignment="1">
      <alignment horizontal="right" vertical="center" wrapText="1"/>
    </xf>
    <xf numFmtId="49" fontId="19" fillId="0" borderId="2" xfId="2" quotePrefix="1" applyNumberFormat="1" applyFont="1" applyBorder="1" applyAlignment="1">
      <alignment horizontal="center" vertical="center" wrapText="1"/>
    </xf>
    <xf numFmtId="0" fontId="180" fillId="0" borderId="2" xfId="2" applyFont="1" applyBorder="1" applyAlignment="1">
      <alignment horizontal="center" vertical="center" wrapText="1"/>
    </xf>
    <xf numFmtId="1" fontId="180" fillId="0" borderId="2" xfId="2" applyNumberFormat="1" applyFont="1" applyBorder="1" applyAlignment="1">
      <alignment vertical="center" wrapText="1"/>
    </xf>
    <xf numFmtId="1" fontId="180" fillId="0" borderId="2" xfId="2" applyNumberFormat="1" applyFont="1" applyBorder="1" applyAlignment="1">
      <alignment horizontal="center" vertical="center" wrapText="1"/>
    </xf>
    <xf numFmtId="3" fontId="180" fillId="0" borderId="2" xfId="2" quotePrefix="1" applyNumberFormat="1" applyFont="1" applyBorder="1" applyAlignment="1">
      <alignment horizontal="center" vertical="center" wrapText="1"/>
    </xf>
    <xf numFmtId="3" fontId="180" fillId="0" borderId="2" xfId="2" quotePrefix="1" applyNumberFormat="1" applyFont="1" applyBorder="1" applyAlignment="1">
      <alignment vertical="center" wrapText="1"/>
    </xf>
    <xf numFmtId="1" fontId="180" fillId="0" borderId="2" xfId="2" applyNumberFormat="1" applyFont="1" applyBorder="1" applyAlignment="1">
      <alignment horizontal="center" vertical="center"/>
    </xf>
    <xf numFmtId="3" fontId="180" fillId="0" borderId="2" xfId="2" quotePrefix="1" applyNumberFormat="1" applyFont="1" applyBorder="1" applyAlignment="1">
      <alignment horizontal="right" vertical="center" wrapText="1"/>
    </xf>
    <xf numFmtId="3" fontId="14" fillId="0" borderId="0" xfId="0" applyNumberFormat="1" applyFont="1"/>
    <xf numFmtId="3" fontId="7" fillId="0" borderId="0" xfId="2" applyNumberFormat="1" applyFont="1" applyAlignment="1">
      <alignment horizontal="right" vertical="center"/>
    </xf>
    <xf numFmtId="3" fontId="180" fillId="0" borderId="2" xfId="2" applyNumberFormat="1" applyFont="1" applyBorder="1" applyAlignment="1">
      <alignment vertical="center" wrapText="1"/>
    </xf>
    <xf numFmtId="0" fontId="180" fillId="0" borderId="2" xfId="3" applyFont="1" applyBorder="1" applyAlignment="1">
      <alignment vertical="center" wrapText="1" readingOrder="1"/>
    </xf>
    <xf numFmtId="2" fontId="180" fillId="0" borderId="2" xfId="2" quotePrefix="1" applyNumberFormat="1" applyFont="1" applyBorder="1" applyAlignment="1">
      <alignment horizontal="center" vertical="center" wrapText="1"/>
    </xf>
    <xf numFmtId="3" fontId="180" fillId="0" borderId="2" xfId="3" applyNumberFormat="1" applyFont="1" applyBorder="1" applyAlignment="1">
      <alignment horizontal="center" vertical="center" wrapText="1"/>
    </xf>
    <xf numFmtId="3" fontId="180" fillId="0" borderId="2" xfId="3" applyNumberFormat="1" applyFont="1" applyBorder="1" applyAlignment="1">
      <alignment vertical="center" wrapText="1"/>
    </xf>
    <xf numFmtId="3" fontId="180" fillId="0" borderId="2" xfId="0" applyNumberFormat="1" applyFont="1" applyBorder="1" applyAlignment="1">
      <alignment vertical="center" wrapText="1"/>
    </xf>
    <xf numFmtId="0" fontId="184" fillId="0" borderId="0" xfId="8" applyFont="1"/>
    <xf numFmtId="0" fontId="180" fillId="0" borderId="2" xfId="0" applyFont="1" applyBorder="1" applyAlignment="1">
      <alignment vertical="center" wrapText="1"/>
    </xf>
    <xf numFmtId="0" fontId="180" fillId="0" borderId="2" xfId="3" quotePrefix="1" applyFont="1" applyBorder="1" applyAlignment="1">
      <alignment horizontal="center" vertical="center" wrapText="1"/>
    </xf>
    <xf numFmtId="1" fontId="180" fillId="0" borderId="2" xfId="2" applyNumberFormat="1" applyFont="1" applyBorder="1" applyAlignment="1">
      <alignment horizontal="right" vertical="center"/>
    </xf>
    <xf numFmtId="3" fontId="180" fillId="0" borderId="2" xfId="2" applyNumberFormat="1" applyFont="1" applyBorder="1" applyAlignment="1">
      <alignment horizontal="right" vertical="center"/>
    </xf>
    <xf numFmtId="1" fontId="180" fillId="0" borderId="0" xfId="2" applyNumberFormat="1" applyFont="1" applyAlignment="1">
      <alignment vertical="center"/>
    </xf>
    <xf numFmtId="3" fontId="34" fillId="0" borderId="0" xfId="2" applyNumberFormat="1" applyFont="1" applyAlignment="1">
      <alignment horizontal="center" vertical="center" wrapText="1"/>
    </xf>
    <xf numFmtId="3" fontId="34" fillId="0" borderId="0" xfId="2" applyNumberFormat="1" applyFont="1" applyAlignment="1">
      <alignment vertical="center" wrapText="1"/>
    </xf>
    <xf numFmtId="3" fontId="18" fillId="0" borderId="2" xfId="2" applyNumberFormat="1" applyFont="1" applyBorder="1" applyAlignment="1">
      <alignment horizontal="left" vertical="center" wrapText="1"/>
    </xf>
    <xf numFmtId="0" fontId="18" fillId="0" borderId="2" xfId="2" applyFont="1" applyBorder="1" applyAlignment="1">
      <alignment horizontal="center" vertical="center"/>
    </xf>
    <xf numFmtId="1" fontId="18" fillId="0" borderId="2" xfId="2" applyNumberFormat="1" applyFont="1" applyBorder="1" applyAlignment="1">
      <alignment horizontal="justify" vertical="center" wrapText="1"/>
    </xf>
    <xf numFmtId="3" fontId="18" fillId="0" borderId="2" xfId="2" quotePrefix="1" applyNumberFormat="1" applyFont="1" applyBorder="1" applyAlignment="1">
      <alignment horizontal="center" vertical="center" wrapText="1"/>
    </xf>
    <xf numFmtId="0" fontId="192" fillId="0" borderId="0" xfId="0" applyFont="1" applyAlignment="1">
      <alignment wrapText="1"/>
    </xf>
    <xf numFmtId="49" fontId="18" fillId="0" borderId="2" xfId="2" quotePrefix="1" applyNumberFormat="1" applyFont="1" applyBorder="1" applyAlignment="1">
      <alignment horizontal="center" vertical="center" wrapText="1"/>
    </xf>
    <xf numFmtId="3" fontId="19" fillId="0" borderId="5" xfId="2" applyNumberFormat="1" applyFont="1" applyBorder="1" applyAlignment="1">
      <alignment horizontal="center" vertical="center" wrapText="1"/>
    </xf>
    <xf numFmtId="175" fontId="19" fillId="0" borderId="2" xfId="2" applyNumberFormat="1" applyFont="1" applyBorder="1" applyAlignment="1">
      <alignment horizontal="center" vertical="center" wrapText="1"/>
    </xf>
    <xf numFmtId="3" fontId="18" fillId="0" borderId="2" xfId="2" quotePrefix="1" applyNumberFormat="1" applyFont="1" applyBorder="1" applyAlignment="1">
      <alignment vertical="center" wrapText="1"/>
    </xf>
    <xf numFmtId="3" fontId="18" fillId="0" borderId="2" xfId="3" applyNumberFormat="1" applyFont="1" applyBorder="1" applyAlignment="1">
      <alignment horizontal="center" vertical="center" wrapText="1"/>
    </xf>
    <xf numFmtId="3" fontId="18" fillId="0" borderId="5" xfId="2" applyNumberFormat="1" applyFont="1" applyBorder="1" applyAlignment="1">
      <alignment horizontal="center" vertical="center" wrapText="1"/>
    </xf>
    <xf numFmtId="49" fontId="18" fillId="0" borderId="2" xfId="30" applyNumberFormat="1" applyFont="1" applyBorder="1" applyAlignment="1">
      <alignment horizontal="center" vertical="center" wrapText="1"/>
    </xf>
    <xf numFmtId="3" fontId="18" fillId="0" borderId="0" xfId="2" applyNumberFormat="1" applyFont="1" applyAlignment="1">
      <alignment horizontal="center" vertical="center" wrapText="1"/>
    </xf>
    <xf numFmtId="0" fontId="18" fillId="0" borderId="2" xfId="2376" applyFont="1" applyBorder="1" applyAlignment="1">
      <alignment horizontal="justify" vertical="center" wrapText="1" readingOrder="1"/>
    </xf>
    <xf numFmtId="0" fontId="18" fillId="0" borderId="2" xfId="0" applyFont="1" applyBorder="1" applyAlignment="1">
      <alignment horizontal="left" vertical="center" wrapText="1"/>
    </xf>
    <xf numFmtId="39" fontId="18" fillId="0" borderId="2" xfId="0" applyNumberFormat="1" applyFont="1" applyBorder="1" applyAlignment="1">
      <alignment horizontal="center" vertical="center" wrapText="1"/>
    </xf>
    <xf numFmtId="3" fontId="18" fillId="0" borderId="0" xfId="0" applyNumberFormat="1" applyFont="1" applyAlignment="1">
      <alignment wrapText="1"/>
    </xf>
    <xf numFmtId="0" fontId="18" fillId="0" borderId="2" xfId="2" applyFont="1" applyBorder="1" applyAlignment="1">
      <alignment horizontal="center" vertical="center" wrapText="1"/>
    </xf>
    <xf numFmtId="0" fontId="18" fillId="0" borderId="2" xfId="0" applyFont="1" applyBorder="1" applyAlignment="1">
      <alignment horizontal="justify" vertical="center" wrapText="1"/>
    </xf>
    <xf numFmtId="0" fontId="18" fillId="0" borderId="0" xfId="0" applyFont="1" applyAlignment="1">
      <alignment horizontal="justify" vertical="center" wrapText="1"/>
    </xf>
    <xf numFmtId="3" fontId="18" fillId="0" borderId="0" xfId="14" applyNumberFormat="1" applyFont="1" applyFill="1" applyBorder="1" applyAlignment="1">
      <alignment horizontal="right" vertical="center" wrapText="1"/>
    </xf>
    <xf numFmtId="3" fontId="19" fillId="0" borderId="0" xfId="14" applyNumberFormat="1" applyFont="1" applyFill="1" applyBorder="1" applyAlignment="1">
      <alignment horizontal="right" vertical="center" wrapText="1"/>
    </xf>
    <xf numFmtId="3" fontId="18" fillId="0" borderId="0" xfId="2" applyNumberFormat="1" applyFont="1" applyAlignment="1">
      <alignment horizontal="right" vertical="center" wrapText="1"/>
    </xf>
    <xf numFmtId="0" fontId="18" fillId="0" borderId="2" xfId="0" applyFont="1" applyBorder="1" applyAlignment="1">
      <alignment vertical="center" wrapText="1"/>
    </xf>
    <xf numFmtId="0" fontId="18" fillId="0" borderId="36" xfId="0" applyFont="1" applyBorder="1" applyAlignment="1">
      <alignment vertical="center" wrapText="1"/>
    </xf>
    <xf numFmtId="169" fontId="18" fillId="0" borderId="2" xfId="0" applyNumberFormat="1" applyFont="1" applyBorder="1" applyAlignment="1">
      <alignment vertical="center" wrapText="1"/>
    </xf>
    <xf numFmtId="39" fontId="18" fillId="0" borderId="2" xfId="2" quotePrefix="1" applyNumberFormat="1" applyFont="1" applyBorder="1" applyAlignment="1">
      <alignment horizontal="center" vertical="center" wrapText="1"/>
    </xf>
    <xf numFmtId="175" fontId="18" fillId="0" borderId="0" xfId="2" applyNumberFormat="1" applyFont="1" applyAlignment="1">
      <alignment horizontal="center" vertical="center" wrapText="1"/>
    </xf>
    <xf numFmtId="39" fontId="19" fillId="0" borderId="2" xfId="2" quotePrefix="1" applyNumberFormat="1" applyFont="1" applyBorder="1" applyAlignment="1">
      <alignment horizontal="center" vertical="center" wrapText="1"/>
    </xf>
    <xf numFmtId="39" fontId="18" fillId="0" borderId="2" xfId="0" applyNumberFormat="1" applyFont="1" applyBorder="1" applyAlignment="1">
      <alignment horizontal="center" wrapText="1"/>
    </xf>
    <xf numFmtId="3" fontId="18" fillId="0" borderId="0" xfId="14" applyNumberFormat="1" applyFont="1" applyFill="1" applyBorder="1" applyAlignment="1">
      <alignment horizontal="center" vertical="center" wrapText="1"/>
    </xf>
    <xf numFmtId="170" fontId="18" fillId="0" borderId="0" xfId="1" applyFont="1" applyFill="1" applyAlignment="1">
      <alignment vertical="center" wrapText="1"/>
    </xf>
    <xf numFmtId="3" fontId="18" fillId="0" borderId="0" xfId="0" applyNumberFormat="1" applyFont="1" applyAlignment="1">
      <alignment horizontal="right" vertical="center" wrapText="1"/>
    </xf>
    <xf numFmtId="0" fontId="194" fillId="0" borderId="0" xfId="0" applyFont="1" applyAlignment="1">
      <alignment horizontal="center" vertical="center"/>
    </xf>
    <xf numFmtId="0" fontId="195" fillId="0" borderId="0" xfId="0" applyFont="1" applyAlignment="1">
      <alignment vertical="center"/>
    </xf>
    <xf numFmtId="0" fontId="194" fillId="0" borderId="0" xfId="0" applyFont="1" applyAlignment="1">
      <alignment vertical="center"/>
    </xf>
    <xf numFmtId="0" fontId="194" fillId="0" borderId="2" xfId="0" applyFont="1" applyBorder="1" applyAlignment="1">
      <alignment horizontal="center" vertical="center"/>
    </xf>
    <xf numFmtId="0" fontId="194" fillId="0" borderId="2" xfId="0" applyFont="1" applyBorder="1" applyAlignment="1">
      <alignment horizontal="center" vertical="center" wrapText="1"/>
    </xf>
    <xf numFmtId="0" fontId="194" fillId="2" borderId="2" xfId="0" applyFont="1" applyFill="1" applyBorder="1" applyAlignment="1">
      <alignment horizontal="center" vertical="center"/>
    </xf>
    <xf numFmtId="0" fontId="194" fillId="2" borderId="2" xfId="0" applyFont="1" applyFill="1" applyBorder="1" applyAlignment="1">
      <alignment vertical="center"/>
    </xf>
    <xf numFmtId="3" fontId="194" fillId="2" borderId="2" xfId="0" applyNumberFormat="1" applyFont="1" applyFill="1" applyBorder="1" applyAlignment="1">
      <alignment vertical="center"/>
    </xf>
    <xf numFmtId="0" fontId="195" fillId="0" borderId="2" xfId="0" applyFont="1" applyBorder="1" applyAlignment="1">
      <alignment horizontal="center" vertical="center"/>
    </xf>
    <xf numFmtId="0" fontId="195" fillId="0" borderId="2" xfId="0" applyFont="1" applyBorder="1" applyAlignment="1">
      <alignment vertical="center"/>
    </xf>
    <xf numFmtId="3" fontId="195" fillId="0" borderId="2" xfId="0" applyNumberFormat="1" applyFont="1" applyBorder="1" applyAlignment="1">
      <alignment vertical="center"/>
    </xf>
    <xf numFmtId="0" fontId="195" fillId="0" borderId="0" xfId="0" applyFont="1" applyAlignment="1">
      <alignment horizontal="center" vertical="center"/>
    </xf>
    <xf numFmtId="3" fontId="195" fillId="0" borderId="0" xfId="0" applyNumberFormat="1" applyFont="1" applyAlignment="1">
      <alignment vertical="center"/>
    </xf>
    <xf numFmtId="175" fontId="34" fillId="0" borderId="2" xfId="1" applyNumberFormat="1" applyFont="1" applyFill="1" applyBorder="1" applyAlignment="1">
      <alignment horizontal="right" vertical="center"/>
    </xf>
    <xf numFmtId="3" fontId="18" fillId="0" borderId="17" xfId="1148" applyNumberFormat="1" applyFont="1" applyFill="1" applyBorder="1" applyAlignment="1">
      <alignment horizontal="right" vertical="center" wrapText="1"/>
    </xf>
    <xf numFmtId="3" fontId="101" fillId="0" borderId="2" xfId="2" applyNumberFormat="1" applyFont="1" applyBorder="1" applyAlignment="1">
      <alignment horizontal="center" vertical="center" wrapText="1"/>
    </xf>
    <xf numFmtId="49" fontId="7" fillId="0" borderId="0" xfId="2" applyNumberFormat="1" applyFont="1" applyAlignment="1">
      <alignment horizontal="center" vertical="center" wrapText="1"/>
    </xf>
    <xf numFmtId="49" fontId="7" fillId="0" borderId="0" xfId="2" applyNumberFormat="1" applyFont="1" applyAlignment="1">
      <alignment vertical="center" wrapText="1"/>
    </xf>
    <xf numFmtId="1" fontId="7" fillId="0" borderId="0" xfId="2" applyNumberFormat="1" applyFont="1" applyAlignment="1">
      <alignment horizontal="right" vertical="center" wrapText="1"/>
    </xf>
    <xf numFmtId="3" fontId="7" fillId="0" borderId="0" xfId="2" applyNumberFormat="1" applyFont="1" applyAlignment="1">
      <alignment horizontal="right" vertical="center" wrapText="1"/>
    </xf>
    <xf numFmtId="1" fontId="190" fillId="0" borderId="0" xfId="2" applyNumberFormat="1" applyFont="1" applyAlignment="1">
      <alignment horizontal="center" vertical="center" wrapText="1"/>
    </xf>
    <xf numFmtId="3" fontId="188" fillId="0" borderId="2" xfId="2" applyNumberFormat="1" applyFont="1" applyBorder="1" applyAlignment="1">
      <alignment horizontal="center" vertical="center" wrapText="1"/>
    </xf>
    <xf numFmtId="1" fontId="188" fillId="0" borderId="0" xfId="2" applyNumberFormat="1" applyFont="1" applyAlignment="1">
      <alignment vertical="center" wrapText="1"/>
    </xf>
    <xf numFmtId="3" fontId="188" fillId="0" borderId="0" xfId="2" applyNumberFormat="1" applyFont="1" applyAlignment="1">
      <alignment horizontal="center" vertical="center" wrapText="1"/>
    </xf>
    <xf numFmtId="0" fontId="189" fillId="0" borderId="2" xfId="2" applyFont="1" applyBorder="1" applyAlignment="1">
      <alignment horizontal="center" vertical="center" wrapText="1"/>
    </xf>
    <xf numFmtId="3" fontId="189" fillId="0" borderId="2" xfId="2" applyNumberFormat="1" applyFont="1" applyBorder="1" applyAlignment="1">
      <alignment horizontal="center" vertical="center" wrapText="1"/>
    </xf>
    <xf numFmtId="3" fontId="189" fillId="0" borderId="0" xfId="2" applyNumberFormat="1" applyFont="1" applyAlignment="1">
      <alignment horizontal="center" vertical="center" wrapText="1"/>
    </xf>
    <xf numFmtId="0" fontId="101" fillId="0" borderId="2" xfId="2" applyFont="1" applyBorder="1" applyAlignment="1">
      <alignment horizontal="center" vertical="center" wrapText="1"/>
    </xf>
    <xf numFmtId="3" fontId="101" fillId="0" borderId="2" xfId="2" applyNumberFormat="1" applyFont="1" applyBorder="1" applyAlignment="1">
      <alignment horizontal="right" vertical="center" wrapText="1"/>
    </xf>
    <xf numFmtId="3" fontId="101" fillId="0" borderId="0" xfId="2" applyNumberFormat="1" applyFont="1" applyAlignment="1">
      <alignment horizontal="center" vertical="center" wrapText="1"/>
    </xf>
    <xf numFmtId="0" fontId="101" fillId="0" borderId="2" xfId="2" applyFont="1" applyBorder="1" applyAlignment="1">
      <alignment horizontal="center" vertical="center"/>
    </xf>
    <xf numFmtId="1" fontId="101" fillId="0" borderId="2" xfId="2" applyNumberFormat="1" applyFont="1" applyBorder="1" applyAlignment="1">
      <alignment horizontal="left" vertical="center" wrapText="1"/>
    </xf>
    <xf numFmtId="1" fontId="101" fillId="0" borderId="2" xfId="2" applyNumberFormat="1" applyFont="1" applyBorder="1" applyAlignment="1">
      <alignment horizontal="center" vertical="center" wrapText="1"/>
    </xf>
    <xf numFmtId="3" fontId="101" fillId="0" borderId="2" xfId="2" quotePrefix="1" applyNumberFormat="1" applyFont="1" applyBorder="1" applyAlignment="1">
      <alignment horizontal="center" vertical="center" wrapText="1"/>
    </xf>
    <xf numFmtId="3" fontId="101" fillId="0" borderId="2" xfId="2" quotePrefix="1" applyNumberFormat="1" applyFont="1" applyBorder="1" applyAlignment="1">
      <alignment vertical="center" wrapText="1"/>
    </xf>
    <xf numFmtId="3" fontId="101" fillId="0" borderId="0" xfId="2" applyNumberFormat="1" applyFont="1" applyAlignment="1">
      <alignment vertical="center" wrapText="1"/>
    </xf>
    <xf numFmtId="0" fontId="34" fillId="0" borderId="2" xfId="2" applyFont="1" applyBorder="1" applyAlignment="1">
      <alignment horizontal="center" vertical="center" wrapText="1"/>
    </xf>
    <xf numFmtId="1" fontId="34" fillId="0" borderId="2" xfId="2" applyNumberFormat="1" applyFont="1" applyBorder="1" applyAlignment="1">
      <alignment vertical="center" wrapText="1"/>
    </xf>
    <xf numFmtId="1" fontId="34" fillId="0" borderId="2" xfId="2" applyNumberFormat="1" applyFont="1" applyBorder="1" applyAlignment="1">
      <alignment horizontal="center" vertical="center" wrapText="1"/>
    </xf>
    <xf numFmtId="3" fontId="34" fillId="0" borderId="2" xfId="2" quotePrefix="1" applyNumberFormat="1" applyFont="1" applyBorder="1" applyAlignment="1">
      <alignment horizontal="center" vertical="center" wrapText="1"/>
    </xf>
    <xf numFmtId="3" fontId="34" fillId="0" borderId="2" xfId="2" quotePrefix="1" applyNumberFormat="1" applyFont="1" applyBorder="1" applyAlignment="1">
      <alignment vertical="center" wrapText="1"/>
    </xf>
    <xf numFmtId="3" fontId="34" fillId="0" borderId="2" xfId="2" quotePrefix="1" applyNumberFormat="1" applyFont="1" applyBorder="1" applyAlignment="1">
      <alignment horizontal="right" vertical="center" wrapText="1"/>
    </xf>
    <xf numFmtId="2" fontId="34" fillId="0" borderId="2" xfId="2" quotePrefix="1" applyNumberFormat="1" applyFont="1" applyBorder="1" applyAlignment="1">
      <alignment horizontal="center" vertical="center" wrapText="1"/>
    </xf>
    <xf numFmtId="0" fontId="101" fillId="0" borderId="0" xfId="8" applyFont="1"/>
    <xf numFmtId="1" fontId="101" fillId="0" borderId="2" xfId="2" applyNumberFormat="1" applyFont="1" applyBorder="1" applyAlignment="1">
      <alignment vertical="center" wrapText="1"/>
    </xf>
    <xf numFmtId="0" fontId="34" fillId="0" borderId="2" xfId="2" applyFont="1" applyBorder="1" applyAlignment="1">
      <alignment horizontal="center" vertical="center"/>
    </xf>
    <xf numFmtId="1" fontId="34" fillId="0" borderId="2" xfId="2" applyNumberFormat="1" applyFont="1" applyBorder="1" applyAlignment="1">
      <alignment horizontal="right" vertical="center"/>
    </xf>
    <xf numFmtId="1" fontId="34" fillId="0" borderId="0" xfId="2" applyNumberFormat="1" applyFont="1" applyAlignment="1">
      <alignment vertical="center"/>
    </xf>
    <xf numFmtId="3" fontId="101" fillId="0" borderId="2" xfId="2" applyNumberFormat="1" applyFont="1" applyBorder="1" applyAlignment="1">
      <alignment horizontal="left" vertical="center" wrapText="1"/>
    </xf>
    <xf numFmtId="3" fontId="101" fillId="0" borderId="2" xfId="2" quotePrefix="1" applyNumberFormat="1" applyFont="1" applyBorder="1" applyAlignment="1">
      <alignment horizontal="right" vertical="center" wrapText="1"/>
    </xf>
    <xf numFmtId="0" fontId="34" fillId="0" borderId="2" xfId="0" applyFont="1" applyBorder="1" applyAlignment="1">
      <alignment horizontal="justify" vertical="center" wrapText="1"/>
    </xf>
    <xf numFmtId="3" fontId="34" fillId="0" borderId="2" xfId="2" applyNumberFormat="1" applyFont="1" applyBorder="1" applyAlignment="1">
      <alignment horizontal="center" vertical="center" wrapText="1"/>
    </xf>
    <xf numFmtId="0" fontId="191" fillId="0" borderId="0" xfId="0" applyFont="1"/>
    <xf numFmtId="0" fontId="34" fillId="0" borderId="2" xfId="0" applyFont="1" applyBorder="1" applyAlignment="1">
      <alignment horizontal="center" vertical="center" wrapText="1"/>
    </xf>
    <xf numFmtId="1" fontId="34" fillId="0" borderId="2" xfId="2" applyNumberFormat="1" applyFont="1" applyBorder="1" applyAlignment="1">
      <alignment horizontal="justify" vertical="center" wrapText="1"/>
    </xf>
    <xf numFmtId="0" fontId="101" fillId="0" borderId="2" xfId="0" applyFont="1" applyBorder="1" applyAlignment="1">
      <alignment horizontal="justify" vertical="center" wrapText="1"/>
    </xf>
    <xf numFmtId="3" fontId="34" fillId="0" borderId="2" xfId="2" applyNumberFormat="1" applyFont="1" applyBorder="1" applyAlignment="1">
      <alignment horizontal="right" vertical="center" wrapText="1"/>
    </xf>
    <xf numFmtId="0" fontId="34" fillId="0" borderId="2" xfId="2" applyFont="1" applyBorder="1" applyAlignment="1">
      <alignment horizontal="left" vertical="center" wrapText="1"/>
    </xf>
    <xf numFmtId="3" fontId="34" fillId="0" borderId="2" xfId="0" applyNumberFormat="1" applyFont="1" applyBorder="1" applyAlignment="1">
      <alignment horizontal="right" vertical="center" wrapText="1"/>
    </xf>
    <xf numFmtId="0" fontId="191" fillId="0" borderId="2" xfId="0" applyFont="1" applyBorder="1"/>
    <xf numFmtId="0" fontId="18" fillId="0" borderId="0" xfId="8" applyFont="1" applyAlignment="1">
      <alignment horizontal="center" wrapText="1"/>
    </xf>
    <xf numFmtId="0" fontId="18" fillId="0" borderId="0" xfId="8" applyFont="1" applyAlignment="1">
      <alignment wrapText="1"/>
    </xf>
    <xf numFmtId="0" fontId="20" fillId="0" borderId="0" xfId="8" applyFont="1" applyAlignment="1">
      <alignment wrapText="1"/>
    </xf>
    <xf numFmtId="0" fontId="11" fillId="0" borderId="0" xfId="8" applyFont="1" applyAlignment="1">
      <alignment wrapText="1"/>
    </xf>
    <xf numFmtId="49" fontId="19" fillId="0" borderId="0" xfId="8" applyNumberFormat="1" applyFont="1" applyAlignment="1">
      <alignment wrapText="1"/>
    </xf>
    <xf numFmtId="0" fontId="19" fillId="0" borderId="0" xfId="8" applyFont="1" applyAlignment="1">
      <alignment wrapText="1"/>
    </xf>
    <xf numFmtId="0" fontId="17" fillId="0" borderId="0" xfId="8" applyFont="1" applyAlignment="1">
      <alignment wrapText="1"/>
    </xf>
    <xf numFmtId="0" fontId="18" fillId="0" borderId="0" xfId="2" applyFont="1" applyAlignment="1">
      <alignment horizontal="center" vertical="center" wrapText="1"/>
    </xf>
    <xf numFmtId="0" fontId="14" fillId="0" borderId="0" xfId="0" applyFont="1" applyAlignment="1">
      <alignment wrapText="1"/>
    </xf>
    <xf numFmtId="0" fontId="14" fillId="0" borderId="0" xfId="0" applyFont="1" applyAlignment="1">
      <alignment horizontal="center" wrapText="1"/>
    </xf>
    <xf numFmtId="0" fontId="14" fillId="0" borderId="0" xfId="0" applyFont="1" applyAlignment="1">
      <alignment horizontal="center" vertical="center" wrapText="1"/>
    </xf>
    <xf numFmtId="175" fontId="194" fillId="0" borderId="0" xfId="1" applyNumberFormat="1" applyFont="1" applyAlignment="1">
      <alignment vertical="center"/>
    </xf>
    <xf numFmtId="1" fontId="101" fillId="0" borderId="2" xfId="2" applyNumberFormat="1" applyFont="1" applyBorder="1" applyAlignment="1">
      <alignment horizontal="justify" vertical="center" wrapText="1"/>
    </xf>
    <xf numFmtId="0" fontId="34" fillId="0" borderId="2" xfId="2384" applyFont="1" applyBorder="1" applyAlignment="1">
      <alignment vertical="center" wrapText="1" readingOrder="1"/>
    </xf>
    <xf numFmtId="3" fontId="34" fillId="0" borderId="2" xfId="2384" applyNumberFormat="1" applyFont="1" applyBorder="1" applyAlignment="1">
      <alignment horizontal="center" vertical="center" wrapText="1"/>
    </xf>
    <xf numFmtId="3" fontId="34" fillId="0" borderId="2" xfId="2384" applyNumberFormat="1" applyFont="1" applyBorder="1" applyAlignment="1">
      <alignment vertical="center" wrapText="1"/>
    </xf>
    <xf numFmtId="0" fontId="34" fillId="0" borderId="2" xfId="2384" quotePrefix="1" applyFont="1" applyBorder="1" applyAlignment="1">
      <alignment horizontal="center" vertical="center" wrapText="1"/>
    </xf>
    <xf numFmtId="0" fontId="34" fillId="0" borderId="2" xfId="2384" quotePrefix="1" applyFont="1" applyBorder="1" applyAlignment="1">
      <alignment horizontal="right" vertical="center" wrapText="1"/>
    </xf>
    <xf numFmtId="3" fontId="34" fillId="0" borderId="2" xfId="2384" applyNumberFormat="1" applyFont="1" applyBorder="1" applyAlignment="1">
      <alignment horizontal="right" vertical="center" wrapText="1"/>
    </xf>
    <xf numFmtId="0" fontId="198" fillId="0" borderId="0" xfId="0" applyFont="1" applyAlignment="1">
      <alignment horizontal="center" vertical="center" wrapText="1"/>
    </xf>
    <xf numFmtId="0" fontId="191" fillId="0" borderId="0" xfId="0" applyFont="1" applyAlignment="1">
      <alignment wrapText="1"/>
    </xf>
    <xf numFmtId="0" fontId="18" fillId="0" borderId="0" xfId="8" applyFont="1" applyAlignment="1">
      <alignment horizontal="center" vertical="center"/>
    </xf>
    <xf numFmtId="49" fontId="17" fillId="0" borderId="0" xfId="8" applyNumberFormat="1" applyFont="1" applyAlignment="1">
      <alignment horizontal="center" vertical="center"/>
    </xf>
    <xf numFmtId="0" fontId="17" fillId="0" borderId="0" xfId="8" applyFont="1" applyAlignment="1">
      <alignment horizontal="center" vertical="center"/>
    </xf>
    <xf numFmtId="49" fontId="19" fillId="0" borderId="0" xfId="8" applyNumberFormat="1" applyFont="1" applyAlignment="1">
      <alignment horizontal="center" vertical="center"/>
    </xf>
    <xf numFmtId="0" fontId="19" fillId="0" borderId="0" xfId="8" applyFont="1" applyAlignment="1">
      <alignment horizontal="center" vertical="center"/>
    </xf>
    <xf numFmtId="0" fontId="24" fillId="0" borderId="4" xfId="8" applyFont="1" applyBorder="1" applyAlignment="1">
      <alignment horizontal="center" vertical="center" wrapText="1"/>
    </xf>
    <xf numFmtId="0" fontId="24" fillId="0" borderId="3" xfId="8" applyFont="1" applyBorder="1" applyAlignment="1">
      <alignment horizontal="center" vertical="center" wrapText="1"/>
    </xf>
    <xf numFmtId="0" fontId="24" fillId="0" borderId="5" xfId="8" applyFont="1" applyBorder="1" applyAlignment="1">
      <alignment horizontal="center" vertical="center" wrapText="1"/>
    </xf>
    <xf numFmtId="0" fontId="24" fillId="0" borderId="2" xfId="8" applyFont="1" applyBorder="1" applyAlignment="1">
      <alignment horizontal="center" vertical="center" wrapText="1"/>
    </xf>
    <xf numFmtId="0" fontId="29" fillId="0" borderId="4" xfId="8" applyFont="1" applyBorder="1" applyAlignment="1">
      <alignment horizontal="center" vertical="center" wrapText="1"/>
    </xf>
    <xf numFmtId="0" fontId="29" fillId="0" borderId="5" xfId="8" applyFont="1" applyBorder="1" applyAlignment="1">
      <alignment horizontal="center" vertical="center" wrapText="1"/>
    </xf>
    <xf numFmtId="0" fontId="24" fillId="0" borderId="2" xfId="0" applyFont="1" applyBorder="1" applyAlignment="1">
      <alignment horizontal="center" vertical="center" wrapText="1"/>
    </xf>
    <xf numFmtId="0" fontId="29" fillId="0" borderId="2" xfId="0" applyFont="1" applyBorder="1" applyAlignment="1">
      <alignment horizontal="center" vertical="center" wrapText="1"/>
    </xf>
    <xf numFmtId="49" fontId="17" fillId="0" borderId="0" xfId="8" applyNumberFormat="1" applyFont="1" applyAlignment="1">
      <alignment horizontal="center" vertical="center" wrapText="1"/>
    </xf>
    <xf numFmtId="49" fontId="21" fillId="0" borderId="0" xfId="8" applyNumberFormat="1" applyFont="1" applyAlignment="1">
      <alignment horizontal="center" vertical="center" wrapText="1"/>
    </xf>
    <xf numFmtId="0" fontId="19" fillId="0" borderId="0" xfId="8" applyFont="1" applyAlignment="1">
      <alignment horizontal="center" vertical="center" wrapText="1"/>
    </xf>
    <xf numFmtId="0" fontId="18" fillId="0" borderId="0" xfId="8" applyFont="1" applyAlignment="1">
      <alignment horizontal="center" vertical="center" wrapText="1"/>
    </xf>
    <xf numFmtId="0" fontId="11" fillId="0" borderId="1" xfId="8" applyFont="1" applyBorder="1" applyAlignment="1">
      <alignment horizontal="right" vertical="center" wrapText="1"/>
    </xf>
    <xf numFmtId="49" fontId="24" fillId="0" borderId="2" xfId="8" applyNumberFormat="1" applyFont="1" applyBorder="1" applyAlignment="1">
      <alignment horizontal="center" vertical="center" wrapText="1"/>
    </xf>
    <xf numFmtId="49" fontId="8" fillId="0" borderId="0" xfId="8" applyNumberFormat="1" applyFont="1" applyAlignment="1">
      <alignment horizontal="center" vertical="center" wrapText="1"/>
    </xf>
    <xf numFmtId="49" fontId="35" fillId="0" borderId="0" xfId="8" applyNumberFormat="1" applyFont="1" applyAlignment="1">
      <alignment horizontal="center" vertical="center" wrapText="1"/>
    </xf>
    <xf numFmtId="3" fontId="8" fillId="0" borderId="2" xfId="2" applyNumberFormat="1" applyFont="1" applyBorder="1" applyAlignment="1">
      <alignment horizontal="center" vertical="center" wrapText="1"/>
    </xf>
    <xf numFmtId="1" fontId="8" fillId="0" borderId="0" xfId="2" applyNumberFormat="1" applyFont="1" applyAlignment="1">
      <alignment horizontal="center" vertical="center" wrapText="1"/>
    </xf>
    <xf numFmtId="1" fontId="9" fillId="0" borderId="0" xfId="2" applyNumberFormat="1" applyFont="1" applyAlignment="1">
      <alignment horizontal="center" vertical="center" wrapText="1"/>
    </xf>
    <xf numFmtId="1" fontId="9" fillId="0" borderId="1" xfId="2" applyNumberFormat="1" applyFont="1" applyBorder="1" applyAlignment="1">
      <alignment horizontal="right" vertical="center"/>
    </xf>
    <xf numFmtId="3" fontId="8" fillId="0" borderId="4" xfId="2" applyNumberFormat="1" applyFont="1" applyBorder="1" applyAlignment="1">
      <alignment horizontal="center" vertical="center" wrapText="1"/>
    </xf>
    <xf numFmtId="3" fontId="8" fillId="0" borderId="5" xfId="2" applyNumberFormat="1" applyFont="1" applyBorder="1" applyAlignment="1">
      <alignment horizontal="center" vertical="center" wrapText="1"/>
    </xf>
    <xf numFmtId="3" fontId="8" fillId="0" borderId="22" xfId="2" applyNumberFormat="1" applyFont="1" applyBorder="1" applyAlignment="1">
      <alignment horizontal="center" vertical="center" wrapText="1"/>
    </xf>
    <xf numFmtId="3" fontId="8" fillId="0" borderId="13" xfId="2" applyNumberFormat="1" applyFont="1" applyBorder="1" applyAlignment="1">
      <alignment horizontal="center" vertical="center" wrapText="1"/>
    </xf>
    <xf numFmtId="3" fontId="178" fillId="0" borderId="4" xfId="2" applyNumberFormat="1" applyFont="1" applyBorder="1" applyAlignment="1">
      <alignment horizontal="center" vertical="center" wrapText="1"/>
    </xf>
    <xf numFmtId="3" fontId="178" fillId="0" borderId="5" xfId="2" applyNumberFormat="1" applyFont="1" applyBorder="1" applyAlignment="1">
      <alignment horizontal="center" vertical="center" wrapText="1"/>
    </xf>
    <xf numFmtId="49" fontId="8" fillId="0" borderId="0" xfId="2" applyNumberFormat="1" applyFont="1" applyAlignment="1">
      <alignment horizontal="center" vertical="center"/>
    </xf>
    <xf numFmtId="1" fontId="8" fillId="0" borderId="0" xfId="2" applyNumberFormat="1" applyFont="1" applyAlignment="1">
      <alignment horizontal="center" vertical="center"/>
    </xf>
    <xf numFmtId="1" fontId="9" fillId="0" borderId="0" xfId="2" applyNumberFormat="1" applyFont="1" applyAlignment="1">
      <alignment horizontal="center" vertical="center"/>
    </xf>
    <xf numFmtId="0" fontId="194" fillId="0" borderId="0" xfId="0" applyFont="1" applyAlignment="1">
      <alignment horizontal="center" vertical="center"/>
    </xf>
    <xf numFmtId="3" fontId="101" fillId="0" borderId="2" xfId="2" applyNumberFormat="1" applyFont="1" applyBorder="1" applyAlignment="1">
      <alignment horizontal="center" vertical="center" wrapText="1"/>
    </xf>
    <xf numFmtId="0" fontId="187" fillId="0" borderId="2" xfId="1382" applyFont="1" applyBorder="1" applyAlignment="1">
      <alignment horizontal="center" vertical="center" wrapText="1"/>
    </xf>
    <xf numFmtId="1" fontId="24" fillId="0" borderId="0" xfId="2" applyNumberFormat="1" applyFont="1" applyAlignment="1">
      <alignment horizontal="center" vertical="center" wrapText="1"/>
    </xf>
    <xf numFmtId="1" fontId="179" fillId="0" borderId="0" xfId="2" applyNumberFormat="1" applyFont="1" applyAlignment="1">
      <alignment horizontal="center" vertical="center" wrapText="1"/>
    </xf>
    <xf numFmtId="1" fontId="181" fillId="0" borderId="0" xfId="2" applyNumberFormat="1" applyFont="1" applyAlignment="1">
      <alignment horizontal="center" vertical="center" wrapText="1"/>
    </xf>
    <xf numFmtId="1" fontId="182" fillId="0" borderId="0" xfId="2" applyNumberFormat="1" applyFont="1" applyAlignment="1">
      <alignment horizontal="center" vertical="center" wrapText="1"/>
    </xf>
    <xf numFmtId="1" fontId="20" fillId="0" borderId="1" xfId="2" applyNumberFormat="1" applyFont="1" applyBorder="1" applyAlignment="1">
      <alignment horizontal="right" vertical="center" wrapText="1"/>
    </xf>
    <xf numFmtId="49" fontId="101" fillId="0" borderId="2" xfId="2" applyNumberFormat="1" applyFont="1" applyBorder="1" applyAlignment="1">
      <alignment horizontal="center" vertical="center" wrapText="1"/>
    </xf>
    <xf numFmtId="175" fontId="101" fillId="0" borderId="2" xfId="2" applyNumberFormat="1" applyFont="1" applyBorder="1" applyAlignment="1">
      <alignment horizontal="center" vertical="center" wrapText="1"/>
    </xf>
    <xf numFmtId="175" fontId="19" fillId="0" borderId="0" xfId="2" applyNumberFormat="1" applyFont="1" applyAlignment="1">
      <alignment horizontal="right" vertical="center" wrapText="1"/>
    </xf>
    <xf numFmtId="175" fontId="186" fillId="0" borderId="2" xfId="2" applyNumberFormat="1" applyFont="1" applyBorder="1" applyAlignment="1">
      <alignment horizontal="center" vertical="center" wrapText="1"/>
    </xf>
    <xf numFmtId="175" fontId="185" fillId="0" borderId="2" xfId="0" applyNumberFormat="1" applyFont="1" applyBorder="1" applyAlignment="1">
      <alignment wrapText="1"/>
    </xf>
    <xf numFmtId="175" fontId="101" fillId="0" borderId="4" xfId="2" applyNumberFormat="1" applyFont="1" applyBorder="1" applyAlignment="1">
      <alignment horizontal="center" vertical="center" wrapText="1"/>
    </xf>
    <xf numFmtId="175" fontId="101" fillId="0" borderId="3" xfId="2" applyNumberFormat="1" applyFont="1" applyBorder="1" applyAlignment="1">
      <alignment horizontal="center" vertical="center" wrapText="1"/>
    </xf>
    <xf numFmtId="175" fontId="101" fillId="0" borderId="5" xfId="2" applyNumberFormat="1" applyFont="1" applyBorder="1" applyAlignment="1">
      <alignment horizontal="center" vertical="center" wrapText="1"/>
    </xf>
    <xf numFmtId="175" fontId="193" fillId="0" borderId="2" xfId="0" applyNumberFormat="1" applyFont="1" applyBorder="1" applyAlignment="1">
      <alignment horizontal="center" vertical="center" wrapText="1"/>
    </xf>
    <xf numFmtId="3" fontId="19" fillId="0" borderId="0" xfId="14" applyNumberFormat="1" applyFont="1" applyFill="1" applyBorder="1" applyAlignment="1">
      <alignment horizontal="center" vertical="center" wrapText="1"/>
    </xf>
    <xf numFmtId="0" fontId="188" fillId="0" borderId="2" xfId="2" applyFont="1" applyBorder="1" applyAlignment="1">
      <alignment horizontal="center" vertical="center" wrapText="1"/>
    </xf>
    <xf numFmtId="3" fontId="188" fillId="0" borderId="2" xfId="2" applyNumberFormat="1" applyFont="1" applyBorder="1" applyAlignment="1">
      <alignment horizontal="center" vertical="center" wrapText="1"/>
    </xf>
    <xf numFmtId="1" fontId="9" fillId="0" borderId="1" xfId="2" applyNumberFormat="1" applyFont="1" applyBorder="1" applyAlignment="1">
      <alignment horizontal="right" vertical="center" wrapText="1"/>
    </xf>
    <xf numFmtId="1" fontId="9" fillId="0" borderId="1" xfId="2" applyNumberFormat="1" applyFont="1" applyBorder="1" applyAlignment="1">
      <alignment horizontal="center" vertical="center" wrapText="1"/>
    </xf>
    <xf numFmtId="3" fontId="188" fillId="0" borderId="4" xfId="2" applyNumberFormat="1" applyFont="1" applyBorder="1" applyAlignment="1">
      <alignment horizontal="center" vertical="center" wrapText="1"/>
    </xf>
    <xf numFmtId="3" fontId="188" fillId="0" borderId="3" xfId="2" applyNumberFormat="1" applyFont="1" applyBorder="1" applyAlignment="1">
      <alignment horizontal="center" vertical="center" wrapText="1"/>
    </xf>
    <xf numFmtId="3" fontId="188" fillId="0" borderId="5" xfId="2" applyNumberFormat="1" applyFont="1" applyBorder="1" applyAlignment="1">
      <alignment horizontal="center" vertical="center" wrapText="1"/>
    </xf>
    <xf numFmtId="3" fontId="188" fillId="0" borderId="32" xfId="2" applyNumberFormat="1" applyFont="1" applyBorder="1" applyAlignment="1">
      <alignment horizontal="center" vertical="center" wrapText="1"/>
    </xf>
    <xf numFmtId="3" fontId="188" fillId="0" borderId="34" xfId="2" applyNumberFormat="1" applyFont="1" applyBorder="1" applyAlignment="1">
      <alignment horizontal="center" vertical="center" wrapText="1"/>
    </xf>
    <xf numFmtId="3" fontId="188" fillId="0" borderId="33" xfId="2" applyNumberFormat="1" applyFont="1" applyBorder="1" applyAlignment="1">
      <alignment horizontal="center" vertical="center" wrapText="1"/>
    </xf>
    <xf numFmtId="3" fontId="188" fillId="0" borderId="35" xfId="2" applyNumberFormat="1" applyFont="1" applyBorder="1" applyAlignment="1">
      <alignment horizontal="center" vertical="center" wrapText="1"/>
    </xf>
    <xf numFmtId="3" fontId="188" fillId="0" borderId="1" xfId="2" applyNumberFormat="1" applyFont="1" applyBorder="1" applyAlignment="1">
      <alignment horizontal="center" vertical="center" wrapText="1"/>
    </xf>
    <xf numFmtId="3" fontId="188" fillId="0" borderId="37" xfId="2" applyNumberFormat="1" applyFont="1" applyBorder="1" applyAlignment="1">
      <alignment horizontal="center" vertical="center" wrapText="1"/>
    </xf>
    <xf numFmtId="3" fontId="188" fillId="0" borderId="22" xfId="2" applyNumberFormat="1" applyFont="1" applyBorder="1" applyAlignment="1">
      <alignment horizontal="center" vertical="center" wrapText="1"/>
    </xf>
    <xf numFmtId="3" fontId="188" fillId="0" borderId="36" xfId="2" applyNumberFormat="1" applyFont="1" applyBorder="1" applyAlignment="1">
      <alignment horizontal="center" vertical="center" wrapText="1"/>
    </xf>
    <xf numFmtId="0" fontId="19" fillId="0" borderId="0" xfId="8" applyFont="1" applyAlignment="1">
      <alignment horizontal="center" wrapText="1"/>
    </xf>
    <xf numFmtId="49" fontId="19" fillId="0" borderId="0" xfId="8" applyNumberFormat="1" applyFont="1" applyAlignment="1">
      <alignment horizontal="center" wrapText="1"/>
    </xf>
    <xf numFmtId="1" fontId="188" fillId="0" borderId="2" xfId="2" applyNumberFormat="1" applyFont="1" applyBorder="1" applyAlignment="1">
      <alignment horizontal="center" vertical="center" wrapText="1"/>
    </xf>
    <xf numFmtId="1" fontId="188" fillId="0" borderId="4" xfId="2" applyNumberFormat="1" applyFont="1" applyBorder="1" applyAlignment="1">
      <alignment horizontal="center" vertical="center" wrapText="1"/>
    </xf>
    <xf numFmtId="1" fontId="188" fillId="0" borderId="3" xfId="2" applyNumberFormat="1" applyFont="1" applyBorder="1" applyAlignment="1">
      <alignment horizontal="center" vertical="center" wrapText="1"/>
    </xf>
    <xf numFmtId="1" fontId="188" fillId="0" borderId="5" xfId="2" applyNumberFormat="1" applyFont="1" applyBorder="1" applyAlignment="1">
      <alignment horizontal="center" vertical="center" wrapText="1"/>
    </xf>
    <xf numFmtId="0" fontId="19" fillId="0" borderId="34" xfId="8" applyFont="1" applyBorder="1" applyAlignment="1">
      <alignment horizontal="center" wrapText="1"/>
    </xf>
    <xf numFmtId="49" fontId="8" fillId="0" borderId="0" xfId="8" applyNumberFormat="1" applyFont="1" applyAlignment="1">
      <alignment horizontal="left" vertical="center" wrapText="1"/>
    </xf>
    <xf numFmtId="49" fontId="35" fillId="0" borderId="0" xfId="8" applyNumberFormat="1" applyFont="1" applyAlignment="1">
      <alignment horizontal="left" vertical="center" wrapText="1"/>
    </xf>
  </cellXfs>
  <cellStyles count="2385">
    <cellStyle name="_x0001_" xfId="39"/>
    <cellStyle name="          _x000d__x000a_shell=progman.exe_x000d__x000a_m" xfId="40"/>
    <cellStyle name="_x000d__x000a_JournalTemplate=C:\COMFO\CTALK\JOURSTD.TPL_x000d__x000a_LbStateAddress=3 3 0 251 1 89 2 311_x000d__x000a_LbStateJou" xfId="41"/>
    <cellStyle name="#,##0" xfId="42"/>
    <cellStyle name="#,##0 2" xfId="43"/>
    <cellStyle name="." xfId="44"/>
    <cellStyle name=". 2" xfId="45"/>
    <cellStyle name=".d©y" xfId="46"/>
    <cellStyle name="??" xfId="47"/>
    <cellStyle name="?? [0.00]_ Att. 1- Cover" xfId="48"/>
    <cellStyle name="?? [0]" xfId="49"/>
    <cellStyle name="?_x001d_??%U©÷u&amp;H©÷9_x0008_? s_x000a__x0007__x0001__x0001_" xfId="50"/>
    <cellStyle name="???? [0.00]_      " xfId="51"/>
    <cellStyle name="??????" xfId="52"/>
    <cellStyle name="????_      " xfId="53"/>
    <cellStyle name="???[0]_?? DI" xfId="54"/>
    <cellStyle name="???_?? DI" xfId="55"/>
    <cellStyle name="??[0]_BRE" xfId="56"/>
    <cellStyle name="??_      " xfId="57"/>
    <cellStyle name="??A? [0]_laroux_1_¢¬???¢â? " xfId="58"/>
    <cellStyle name="??A?_laroux_1_¢¬???¢â? " xfId="59"/>
    <cellStyle name="?_x005f_x001d_??%U©÷u&amp;H©÷9_x005f_x0008_? s_x005f_x000a__x005f_x0007__x005f_x0001__x005f_x0001_" xfId="60"/>
    <cellStyle name="?¡±¢¥?_?¨ù??¢´¢¥_¢¬???¢â? " xfId="61"/>
    <cellStyle name="?ðÇ%U?&amp;H?_x0008_?s_x000a__x0007__x0001__x0001_" xfId="62"/>
    <cellStyle name="?ðÇ%U?&amp;H?_x005f_x0008_?s_x005f_x000a__x005f_x0007__x005f_x0001__x005f_x0001_" xfId="63"/>
    <cellStyle name="@ET_Style?.font5" xfId="64"/>
    <cellStyle name="[0]_Chi phÝ kh¸c_V" xfId="65"/>
    <cellStyle name="_!1 1 bao cao giao KH ve HTCMT vung TNB   12-12-2011" xfId="66"/>
    <cellStyle name="_1 TONG HOP - CA NA" xfId="67"/>
    <cellStyle name="_123_DONG_THANH_Moi" xfId="68"/>
    <cellStyle name="_123_DONG_THANH_Moi_!1 1 bao cao giao KH ve HTCMT vung TNB   12-12-2011" xfId="69"/>
    <cellStyle name="_123_DONG_THANH_Moi_KH TPCP vung TNB (03-1-2012)" xfId="70"/>
    <cellStyle name="_Bang Chi tieu (2)" xfId="71"/>
    <cellStyle name="_BAO GIA NGAY 24-10-08 (co dam)" xfId="72"/>
    <cellStyle name="_BC  NAM 2007" xfId="73"/>
    <cellStyle name="_BC CV 6403 BKHĐT" xfId="74"/>
    <cellStyle name="_BEN TRE" xfId="75"/>
    <cellStyle name="_Bieu mau cong trinh khoi cong moi 3-4" xfId="76"/>
    <cellStyle name="_Bieu Tay Nam Bo 25-11" xfId="77"/>
    <cellStyle name="_Bieu3ODA" xfId="78"/>
    <cellStyle name="_Bieu3ODA_1" xfId="79"/>
    <cellStyle name="_Bieu4HTMT" xfId="80"/>
    <cellStyle name="_Bieu4HTMT_!1 1 bao cao giao KH ve HTCMT vung TNB   12-12-2011" xfId="81"/>
    <cellStyle name="_Bieu4HTMT_KH TPCP vung TNB (03-1-2012)" xfId="82"/>
    <cellStyle name="_Book1" xfId="83"/>
    <cellStyle name="_Book1_!1 1 bao cao giao KH ve HTCMT vung TNB   12-12-2011" xfId="84"/>
    <cellStyle name="_Book1_1" xfId="85"/>
    <cellStyle name="_Book1_Bieu3ODA" xfId="86"/>
    <cellStyle name="_Book1_Bieu4HTMT" xfId="87"/>
    <cellStyle name="_Book1_Bieu4HTMT_!1 1 bao cao giao KH ve HTCMT vung TNB   12-12-2011" xfId="88"/>
    <cellStyle name="_Book1_Bieu4HTMT_KH TPCP vung TNB (03-1-2012)" xfId="89"/>
    <cellStyle name="_Book1_bo sung von KCH nam 2010 va Du an tre kho khan" xfId="90"/>
    <cellStyle name="_Book1_bo sung von KCH nam 2010 va Du an tre kho khan_!1 1 bao cao giao KH ve HTCMT vung TNB   12-12-2011" xfId="91"/>
    <cellStyle name="_Book1_bo sung von KCH nam 2010 va Du an tre kho khan_KH TPCP vung TNB (03-1-2012)" xfId="92"/>
    <cellStyle name="_Book1_cong hang rao" xfId="93"/>
    <cellStyle name="_Book1_cong hang rao_!1 1 bao cao giao KH ve HTCMT vung TNB   12-12-2011" xfId="94"/>
    <cellStyle name="_Book1_cong hang rao_KH TPCP vung TNB (03-1-2012)" xfId="95"/>
    <cellStyle name="_Book1_danh muc chuan bi dau tu 2011 ngay 07-6-2011" xfId="96"/>
    <cellStyle name="_Book1_danh muc chuan bi dau tu 2011 ngay 07-6-2011_!1 1 bao cao giao KH ve HTCMT vung TNB   12-12-2011" xfId="97"/>
    <cellStyle name="_Book1_danh muc chuan bi dau tu 2011 ngay 07-6-2011_KH TPCP vung TNB (03-1-2012)" xfId="98"/>
    <cellStyle name="_Book1_Danh muc pbo nguon von XSKT, XDCB nam 2009 chuyen qua nam 2010" xfId="99"/>
    <cellStyle name="_Book1_Danh muc pbo nguon von XSKT, XDCB nam 2009 chuyen qua nam 2010_!1 1 bao cao giao KH ve HTCMT vung TNB   12-12-2011" xfId="100"/>
    <cellStyle name="_Book1_Danh muc pbo nguon von XSKT, XDCB nam 2009 chuyen qua nam 2010_KH TPCP vung TNB (03-1-2012)" xfId="101"/>
    <cellStyle name="_Book1_dieu chinh KH 2011 ngay 26-5-2011111" xfId="102"/>
    <cellStyle name="_Book1_dieu chinh KH 2011 ngay 26-5-2011111_!1 1 bao cao giao KH ve HTCMT vung TNB   12-12-2011" xfId="103"/>
    <cellStyle name="_Book1_dieu chinh KH 2011 ngay 26-5-2011111_KH TPCP vung TNB (03-1-2012)" xfId="104"/>
    <cellStyle name="_Book1_DS KCH PHAN BO VON NSDP NAM 2010" xfId="105"/>
    <cellStyle name="_Book1_DS KCH PHAN BO VON NSDP NAM 2010_!1 1 bao cao giao KH ve HTCMT vung TNB   12-12-2011" xfId="106"/>
    <cellStyle name="_Book1_DS KCH PHAN BO VON NSDP NAM 2010_KH TPCP vung TNB (03-1-2012)" xfId="107"/>
    <cellStyle name="_Book1_giao KH 2011 ngay 10-12-2010" xfId="108"/>
    <cellStyle name="_Book1_giao KH 2011 ngay 10-12-2010_!1 1 bao cao giao KH ve HTCMT vung TNB   12-12-2011" xfId="109"/>
    <cellStyle name="_Book1_giao KH 2011 ngay 10-12-2010_KH TPCP vung TNB (03-1-2012)" xfId="110"/>
    <cellStyle name="_Book1_IN" xfId="111"/>
    <cellStyle name="_Book1_kien giang 2" xfId="115"/>
    <cellStyle name="_Book1_Kh ql62 (2010) 11-09" xfId="112"/>
    <cellStyle name="_Book1_KH TPCP vung TNB (03-1-2012)" xfId="113"/>
    <cellStyle name="_Book1_Khung 2012" xfId="114"/>
    <cellStyle name="_Book1_phu luc tong ket tinh hinh TH giai doan 03-10 (ngay 30)" xfId="116"/>
    <cellStyle name="_Book1_phu luc tong ket tinh hinh TH giai doan 03-10 (ngay 30)_!1 1 bao cao giao KH ve HTCMT vung TNB   12-12-2011" xfId="117"/>
    <cellStyle name="_Book1_phu luc tong ket tinh hinh TH giai doan 03-10 (ngay 30)_KH TPCP vung TNB (03-1-2012)" xfId="118"/>
    <cellStyle name="_C.cong+B.luong-Sanluong" xfId="119"/>
    <cellStyle name="_cong hang rao" xfId="120"/>
    <cellStyle name="_dien chieu sang" xfId="121"/>
    <cellStyle name="_DO-D1500-KHONG CO TRONG DT" xfId="122"/>
    <cellStyle name="_Dong Thap" xfId="123"/>
    <cellStyle name="_Duyet TK thay đôi" xfId="124"/>
    <cellStyle name="_Duyet TK thay đôi_!1 1 bao cao giao KH ve HTCMT vung TNB   12-12-2011" xfId="125"/>
    <cellStyle name="_Duyet TK thay đôi_Bieu4HTMT" xfId="126"/>
    <cellStyle name="_Duyet TK thay đôi_Bieu4HTMT_!1 1 bao cao giao KH ve HTCMT vung TNB   12-12-2011" xfId="127"/>
    <cellStyle name="_Duyet TK thay đôi_Bieu4HTMT_KH TPCP vung TNB (03-1-2012)" xfId="128"/>
    <cellStyle name="_Duyet TK thay đôi_KH TPCP vung TNB (03-1-2012)" xfId="129"/>
    <cellStyle name="_GOITHAUSO2" xfId="130"/>
    <cellStyle name="_GOITHAUSO3" xfId="131"/>
    <cellStyle name="_GOITHAUSO4" xfId="132"/>
    <cellStyle name="_GTGT 2003" xfId="133"/>
    <cellStyle name="_HaHoa_TDT_DienCSang" xfId="134"/>
    <cellStyle name="_HaHoa19-5-07" xfId="135"/>
    <cellStyle name="_IN" xfId="136"/>
    <cellStyle name="_IN_!1 1 bao cao giao KH ve HTCMT vung TNB   12-12-2011" xfId="137"/>
    <cellStyle name="_IN_KH TPCP vung TNB (03-1-2012)" xfId="138"/>
    <cellStyle name="_KE KHAI THUE GTGT 2004" xfId="139"/>
    <cellStyle name="_KE KHAI THUE GTGT 2004_BCTC2004" xfId="140"/>
    <cellStyle name="_x0001__kien giang 2" xfId="145"/>
    <cellStyle name="_KT (2)" xfId="146"/>
    <cellStyle name="_KT (2)_1" xfId="147"/>
    <cellStyle name="_KT (2)_1_Lora-tungchau" xfId="148"/>
    <cellStyle name="_KT (2)_1_Qt-HT3PQ1(CauKho)" xfId="149"/>
    <cellStyle name="_KT (2)_2" xfId="150"/>
    <cellStyle name="_KT (2)_2_TG-TH" xfId="151"/>
    <cellStyle name="_KT (2)_2_TG-TH_ApGiaVatTu_cayxanh_latgach" xfId="152"/>
    <cellStyle name="_KT (2)_2_TG-TH_BANG TONG HOP TINH HINH THANH QUYET TOAN (MOI I)" xfId="153"/>
    <cellStyle name="_KT (2)_2_TG-TH_BAO GIA NGAY 24-10-08 (co dam)" xfId="154"/>
    <cellStyle name="_KT (2)_2_TG-TH_BC  NAM 2007" xfId="155"/>
    <cellStyle name="_KT (2)_2_TG-TH_BC CV 6403 BKHĐT" xfId="156"/>
    <cellStyle name="_KT (2)_2_TG-TH_BC NQ11-CP - chinh sua lai" xfId="157"/>
    <cellStyle name="_KT (2)_2_TG-TH_BC NQ11-CP-Quynh sau bieu so3" xfId="158"/>
    <cellStyle name="_KT (2)_2_TG-TH_BC_NQ11-CP_-_Thao_sua_lai" xfId="159"/>
    <cellStyle name="_KT (2)_2_TG-TH_Bieu mau cong trinh khoi cong moi 3-4" xfId="160"/>
    <cellStyle name="_KT (2)_2_TG-TH_Bieu3ODA" xfId="161"/>
    <cellStyle name="_KT (2)_2_TG-TH_Bieu3ODA_1" xfId="162"/>
    <cellStyle name="_KT (2)_2_TG-TH_Bieu4HTMT" xfId="163"/>
    <cellStyle name="_KT (2)_2_TG-TH_bo sung von KCH nam 2010 va Du an tre kho khan" xfId="164"/>
    <cellStyle name="_KT (2)_2_TG-TH_Book1" xfId="165"/>
    <cellStyle name="_KT (2)_2_TG-TH_Book1_1" xfId="166"/>
    <cellStyle name="_KT (2)_2_TG-TH_Book1_1_BC CV 6403 BKHĐT" xfId="167"/>
    <cellStyle name="_KT (2)_2_TG-TH_Book1_1_Bieu mau cong trinh khoi cong moi 3-4" xfId="168"/>
    <cellStyle name="_KT (2)_2_TG-TH_Book1_1_Bieu3ODA" xfId="169"/>
    <cellStyle name="_KT (2)_2_TG-TH_Book1_1_Bieu4HTMT" xfId="170"/>
    <cellStyle name="_KT (2)_2_TG-TH_Book1_1_Book1" xfId="171"/>
    <cellStyle name="_KT (2)_2_TG-TH_Book1_1_Luy ke von ung nam 2011 -Thoa gui ngay 12-8-2012" xfId="172"/>
    <cellStyle name="_KT (2)_2_TG-TH_Book1_2" xfId="173"/>
    <cellStyle name="_KT (2)_2_TG-TH_Book1_2_BC CV 6403 BKHĐT" xfId="174"/>
    <cellStyle name="_KT (2)_2_TG-TH_Book1_2_Bieu3ODA" xfId="175"/>
    <cellStyle name="_KT (2)_2_TG-TH_Book1_2_Luy ke von ung nam 2011 -Thoa gui ngay 12-8-2012" xfId="176"/>
    <cellStyle name="_KT (2)_2_TG-TH_Book1_3" xfId="177"/>
    <cellStyle name="_KT (2)_2_TG-TH_Book1_BC CV 6403 BKHĐT" xfId="178"/>
    <cellStyle name="_KT (2)_2_TG-TH_Book1_Bieu mau cong trinh khoi cong moi 3-4" xfId="179"/>
    <cellStyle name="_KT (2)_2_TG-TH_Book1_Bieu3ODA" xfId="180"/>
    <cellStyle name="_KT (2)_2_TG-TH_Book1_Bieu4HTMT" xfId="181"/>
    <cellStyle name="_KT (2)_2_TG-TH_Book1_bo sung von KCH nam 2010 va Du an tre kho khan" xfId="182"/>
    <cellStyle name="_KT (2)_2_TG-TH_Book1_danh muc chuan bi dau tu 2011 ngay 07-6-2011" xfId="183"/>
    <cellStyle name="_KT (2)_2_TG-TH_Book1_Danh muc pbo nguon von XSKT, XDCB nam 2009 chuyen qua nam 2010" xfId="184"/>
    <cellStyle name="_KT (2)_2_TG-TH_Book1_dieu chinh KH 2011 ngay 26-5-2011111" xfId="185"/>
    <cellStyle name="_KT (2)_2_TG-TH_Book1_DS KCH PHAN BO VON NSDP NAM 2010" xfId="186"/>
    <cellStyle name="_KT (2)_2_TG-TH_Book1_giao KH 2011 ngay 10-12-2010" xfId="187"/>
    <cellStyle name="_KT (2)_2_TG-TH_Book1_Luy ke von ung nam 2011 -Thoa gui ngay 12-8-2012" xfId="188"/>
    <cellStyle name="_KT (2)_2_TG-TH_CAU Khanh Nam(Thi Cong)" xfId="189"/>
    <cellStyle name="_KT (2)_2_TG-TH_CoCauPhi (version 1)" xfId="191"/>
    <cellStyle name="_KT (2)_2_TG-TH_ChiHuong_ApGia" xfId="190"/>
    <cellStyle name="_KT (2)_2_TG-TH_danh muc chuan bi dau tu 2011 ngay 07-6-2011" xfId="192"/>
    <cellStyle name="_KT (2)_2_TG-TH_Danh muc pbo nguon von XSKT, XDCB nam 2009 chuyen qua nam 2010" xfId="193"/>
    <cellStyle name="_KT (2)_2_TG-TH_DAU NOI PL-CL TAI PHU LAMHC" xfId="194"/>
    <cellStyle name="_KT (2)_2_TG-TH_dieu chinh KH 2011 ngay 26-5-2011111" xfId="195"/>
    <cellStyle name="_KT (2)_2_TG-TH_DS KCH PHAN BO VON NSDP NAM 2010" xfId="196"/>
    <cellStyle name="_KT (2)_2_TG-TH_DU TRU VAT TU" xfId="197"/>
    <cellStyle name="_KT (2)_2_TG-TH_GTGT 2003" xfId="199"/>
    <cellStyle name="_KT (2)_2_TG-TH_giao KH 2011 ngay 10-12-2010" xfId="198"/>
    <cellStyle name="_KT (2)_2_TG-TH_KE KHAI THUE GTGT 2004" xfId="200"/>
    <cellStyle name="_KT (2)_2_TG-TH_KE KHAI THUE GTGT 2004_BCTC2004" xfId="201"/>
    <cellStyle name="_KT (2)_2_TG-TH_kien giang 2" xfId="203"/>
    <cellStyle name="_KT (2)_2_TG-TH_KH TPCP vung TNB (03-1-2012)" xfId="202"/>
    <cellStyle name="_KT (2)_2_TG-TH_Lora-tungchau" xfId="204"/>
    <cellStyle name="_KT (2)_2_TG-TH_Luy ke von ung nam 2011 -Thoa gui ngay 12-8-2012" xfId="205"/>
    <cellStyle name="_KT (2)_2_TG-TH_N-X-T-04" xfId="207"/>
    <cellStyle name="_KT (2)_2_TG-TH_NhanCong" xfId="206"/>
    <cellStyle name="_KT (2)_2_TG-TH_phu luc tong ket tinh hinh TH giai doan 03-10 (ngay 30)" xfId="208"/>
    <cellStyle name="_KT (2)_2_TG-TH_Qt-HT3PQ1(CauKho)" xfId="209"/>
    <cellStyle name="_KT (2)_2_TG-TH_Sheet1" xfId="210"/>
    <cellStyle name="_KT (2)_2_TG-TH_TK152-04" xfId="211"/>
    <cellStyle name="_KT (2)_2_TG-TH_ÿÿÿÿÿ" xfId="212"/>
    <cellStyle name="_KT (2)_2_TG-TH_ÿÿÿÿÿ_Bieu mau cong trinh khoi cong moi 3-4" xfId="213"/>
    <cellStyle name="_KT (2)_2_TG-TH_ÿÿÿÿÿ_Bieu3ODA" xfId="214"/>
    <cellStyle name="_KT (2)_2_TG-TH_ÿÿÿÿÿ_Bieu4HTMT" xfId="215"/>
    <cellStyle name="_KT (2)_2_TG-TH_ÿÿÿÿÿ_kien giang 2" xfId="217"/>
    <cellStyle name="_KT (2)_2_TG-TH_ÿÿÿÿÿ_KH TPCP vung TNB (03-1-2012)" xfId="216"/>
    <cellStyle name="_KT (2)_3" xfId="218"/>
    <cellStyle name="_KT (2)_3_TG-TH" xfId="219"/>
    <cellStyle name="_KT (2)_3_TG-TH_BC  NAM 2007" xfId="220"/>
    <cellStyle name="_KT (2)_3_TG-TH_Bieu mau cong trinh khoi cong moi 3-4" xfId="221"/>
    <cellStyle name="_KT (2)_3_TG-TH_Bieu3ODA" xfId="222"/>
    <cellStyle name="_KT (2)_3_TG-TH_Bieu3ODA_1" xfId="223"/>
    <cellStyle name="_KT (2)_3_TG-TH_Bieu4HTMT" xfId="224"/>
    <cellStyle name="_KT (2)_3_TG-TH_bo sung von KCH nam 2010 va Du an tre kho khan" xfId="225"/>
    <cellStyle name="_KT (2)_3_TG-TH_Book1" xfId="226"/>
    <cellStyle name="_KT (2)_3_TG-TH_Book1_kien giang 2" xfId="228"/>
    <cellStyle name="_KT (2)_3_TG-TH_Book1_KH TPCP vung TNB (03-1-2012)" xfId="227"/>
    <cellStyle name="_KT (2)_3_TG-TH_danh muc chuan bi dau tu 2011 ngay 07-6-2011" xfId="229"/>
    <cellStyle name="_KT (2)_3_TG-TH_Danh muc pbo nguon von XSKT, XDCB nam 2009 chuyen qua nam 2010" xfId="230"/>
    <cellStyle name="_KT (2)_3_TG-TH_dieu chinh KH 2011 ngay 26-5-2011111" xfId="231"/>
    <cellStyle name="_KT (2)_3_TG-TH_DS KCH PHAN BO VON NSDP NAM 2010" xfId="232"/>
    <cellStyle name="_KT (2)_3_TG-TH_GTGT 2003" xfId="234"/>
    <cellStyle name="_KT (2)_3_TG-TH_giao KH 2011 ngay 10-12-2010" xfId="233"/>
    <cellStyle name="_KT (2)_3_TG-TH_KE KHAI THUE GTGT 2004" xfId="235"/>
    <cellStyle name="_KT (2)_3_TG-TH_KE KHAI THUE GTGT 2004_BCTC2004" xfId="236"/>
    <cellStyle name="_KT (2)_3_TG-TH_kien giang 2" xfId="238"/>
    <cellStyle name="_KT (2)_3_TG-TH_KH TPCP vung TNB (03-1-2012)" xfId="237"/>
    <cellStyle name="_KT (2)_3_TG-TH_Lora-tungchau" xfId="239"/>
    <cellStyle name="_KT (2)_3_TG-TH_N-X-T-04" xfId="240"/>
    <cellStyle name="_KT (2)_3_TG-TH_PERSONAL" xfId="241"/>
    <cellStyle name="_KT (2)_3_TG-TH_PERSONAL_BC CV 6403 BKHĐT" xfId="242"/>
    <cellStyle name="_KT (2)_3_TG-TH_PERSONAL_Bieu mau cong trinh khoi cong moi 3-4" xfId="243"/>
    <cellStyle name="_KT (2)_3_TG-TH_PERSONAL_Bieu3ODA" xfId="244"/>
    <cellStyle name="_KT (2)_3_TG-TH_PERSONAL_Bieu4HTMT" xfId="245"/>
    <cellStyle name="_KT (2)_3_TG-TH_PERSONAL_Book1" xfId="246"/>
    <cellStyle name="_KT (2)_3_TG-TH_PERSONAL_Luy ke von ung nam 2011 -Thoa gui ngay 12-8-2012" xfId="247"/>
    <cellStyle name="_KT (2)_3_TG-TH_PERSONAL_Tong hop KHCB 2001" xfId="248"/>
    <cellStyle name="_KT (2)_3_TG-TH_Qt-HT3PQ1(CauKho)" xfId="249"/>
    <cellStyle name="_KT (2)_3_TG-TH_TK152-04" xfId="250"/>
    <cellStyle name="_KT (2)_3_TG-TH_ÿÿÿÿÿ" xfId="251"/>
    <cellStyle name="_KT (2)_3_TG-TH_ÿÿÿÿÿ_kien giang 2" xfId="253"/>
    <cellStyle name="_KT (2)_3_TG-TH_ÿÿÿÿÿ_KH TPCP vung TNB (03-1-2012)" xfId="252"/>
    <cellStyle name="_KT (2)_4" xfId="254"/>
    <cellStyle name="_KT (2)_4_ApGiaVatTu_cayxanh_latgach" xfId="255"/>
    <cellStyle name="_KT (2)_4_BANG TONG HOP TINH HINH THANH QUYET TOAN (MOI I)" xfId="256"/>
    <cellStyle name="_KT (2)_4_BAO GIA NGAY 24-10-08 (co dam)" xfId="257"/>
    <cellStyle name="_KT (2)_4_BC  NAM 2007" xfId="258"/>
    <cellStyle name="_KT (2)_4_BC CV 6403 BKHĐT" xfId="259"/>
    <cellStyle name="_KT (2)_4_BC NQ11-CP - chinh sua lai" xfId="260"/>
    <cellStyle name="_KT (2)_4_BC NQ11-CP-Quynh sau bieu so3" xfId="261"/>
    <cellStyle name="_KT (2)_4_BC_NQ11-CP_-_Thao_sua_lai" xfId="262"/>
    <cellStyle name="_KT (2)_4_Bieu mau cong trinh khoi cong moi 3-4" xfId="263"/>
    <cellStyle name="_KT (2)_4_Bieu3ODA" xfId="264"/>
    <cellStyle name="_KT (2)_4_Bieu3ODA_1" xfId="265"/>
    <cellStyle name="_KT (2)_4_Bieu4HTMT" xfId="266"/>
    <cellStyle name="_KT (2)_4_bo sung von KCH nam 2010 va Du an tre kho khan" xfId="267"/>
    <cellStyle name="_KT (2)_4_Book1" xfId="268"/>
    <cellStyle name="_KT (2)_4_Book1_1" xfId="269"/>
    <cellStyle name="_KT (2)_4_Book1_1_BC CV 6403 BKHĐT" xfId="270"/>
    <cellStyle name="_KT (2)_4_Book1_1_Bieu mau cong trinh khoi cong moi 3-4" xfId="271"/>
    <cellStyle name="_KT (2)_4_Book1_1_Bieu3ODA" xfId="272"/>
    <cellStyle name="_KT (2)_4_Book1_1_Bieu4HTMT" xfId="273"/>
    <cellStyle name="_KT (2)_4_Book1_1_Book1" xfId="274"/>
    <cellStyle name="_KT (2)_4_Book1_1_Luy ke von ung nam 2011 -Thoa gui ngay 12-8-2012" xfId="275"/>
    <cellStyle name="_KT (2)_4_Book1_2" xfId="276"/>
    <cellStyle name="_KT (2)_4_Book1_2_BC CV 6403 BKHĐT" xfId="277"/>
    <cellStyle name="_KT (2)_4_Book1_2_Bieu3ODA" xfId="278"/>
    <cellStyle name="_KT (2)_4_Book1_2_Luy ke von ung nam 2011 -Thoa gui ngay 12-8-2012" xfId="279"/>
    <cellStyle name="_KT (2)_4_Book1_3" xfId="280"/>
    <cellStyle name="_KT (2)_4_Book1_BC CV 6403 BKHĐT" xfId="281"/>
    <cellStyle name="_KT (2)_4_Book1_Bieu mau cong trinh khoi cong moi 3-4" xfId="282"/>
    <cellStyle name="_KT (2)_4_Book1_Bieu3ODA" xfId="283"/>
    <cellStyle name="_KT (2)_4_Book1_Bieu4HTMT" xfId="284"/>
    <cellStyle name="_KT (2)_4_Book1_bo sung von KCH nam 2010 va Du an tre kho khan" xfId="285"/>
    <cellStyle name="_KT (2)_4_Book1_danh muc chuan bi dau tu 2011 ngay 07-6-2011" xfId="286"/>
    <cellStyle name="_KT (2)_4_Book1_Danh muc pbo nguon von XSKT, XDCB nam 2009 chuyen qua nam 2010" xfId="287"/>
    <cellStyle name="_KT (2)_4_Book1_dieu chinh KH 2011 ngay 26-5-2011111" xfId="288"/>
    <cellStyle name="_KT (2)_4_Book1_DS KCH PHAN BO VON NSDP NAM 2010" xfId="289"/>
    <cellStyle name="_KT (2)_4_Book1_giao KH 2011 ngay 10-12-2010" xfId="290"/>
    <cellStyle name="_KT (2)_4_Book1_Luy ke von ung nam 2011 -Thoa gui ngay 12-8-2012" xfId="291"/>
    <cellStyle name="_KT (2)_4_CAU Khanh Nam(Thi Cong)" xfId="292"/>
    <cellStyle name="_KT (2)_4_CoCauPhi (version 1)" xfId="294"/>
    <cellStyle name="_KT (2)_4_ChiHuong_ApGia" xfId="293"/>
    <cellStyle name="_KT (2)_4_danh muc chuan bi dau tu 2011 ngay 07-6-2011" xfId="295"/>
    <cellStyle name="_KT (2)_4_Danh muc pbo nguon von XSKT, XDCB nam 2009 chuyen qua nam 2010" xfId="296"/>
    <cellStyle name="_KT (2)_4_DAU NOI PL-CL TAI PHU LAMHC" xfId="297"/>
    <cellStyle name="_KT (2)_4_dieu chinh KH 2011 ngay 26-5-2011111" xfId="298"/>
    <cellStyle name="_KT (2)_4_DS KCH PHAN BO VON NSDP NAM 2010" xfId="299"/>
    <cellStyle name="_KT (2)_4_DU TRU VAT TU" xfId="300"/>
    <cellStyle name="_KT (2)_4_GTGT 2003" xfId="302"/>
    <cellStyle name="_KT (2)_4_giao KH 2011 ngay 10-12-2010" xfId="301"/>
    <cellStyle name="_KT (2)_4_KE KHAI THUE GTGT 2004" xfId="303"/>
    <cellStyle name="_KT (2)_4_KE KHAI THUE GTGT 2004_BCTC2004" xfId="304"/>
    <cellStyle name="_KT (2)_4_kien giang 2" xfId="306"/>
    <cellStyle name="_KT (2)_4_KH TPCP vung TNB (03-1-2012)" xfId="305"/>
    <cellStyle name="_KT (2)_4_Lora-tungchau" xfId="307"/>
    <cellStyle name="_KT (2)_4_Luy ke von ung nam 2011 -Thoa gui ngay 12-8-2012" xfId="308"/>
    <cellStyle name="_KT (2)_4_N-X-T-04" xfId="310"/>
    <cellStyle name="_KT (2)_4_NhanCong" xfId="309"/>
    <cellStyle name="_KT (2)_4_phu luc tong ket tinh hinh TH giai doan 03-10 (ngay 30)" xfId="311"/>
    <cellStyle name="_KT (2)_4_Qt-HT3PQ1(CauKho)" xfId="312"/>
    <cellStyle name="_KT (2)_4_Sheet1" xfId="313"/>
    <cellStyle name="_KT (2)_4_TG-TH" xfId="314"/>
    <cellStyle name="_KT (2)_4_TK152-04" xfId="315"/>
    <cellStyle name="_KT (2)_4_ÿÿÿÿÿ" xfId="316"/>
    <cellStyle name="_KT (2)_4_ÿÿÿÿÿ_Bieu mau cong trinh khoi cong moi 3-4" xfId="317"/>
    <cellStyle name="_KT (2)_4_ÿÿÿÿÿ_Bieu3ODA" xfId="318"/>
    <cellStyle name="_KT (2)_4_ÿÿÿÿÿ_Bieu4HTMT" xfId="319"/>
    <cellStyle name="_KT (2)_4_ÿÿÿÿÿ_kien giang 2" xfId="321"/>
    <cellStyle name="_KT (2)_4_ÿÿÿÿÿ_KH TPCP vung TNB (03-1-2012)" xfId="320"/>
    <cellStyle name="_KT (2)_5" xfId="322"/>
    <cellStyle name="_KT (2)_5_ApGiaVatTu_cayxanh_latgach" xfId="323"/>
    <cellStyle name="_KT (2)_5_BANG TONG HOP TINH HINH THANH QUYET TOAN (MOI I)" xfId="324"/>
    <cellStyle name="_KT (2)_5_BAO GIA NGAY 24-10-08 (co dam)" xfId="325"/>
    <cellStyle name="_KT (2)_5_BC  NAM 2007" xfId="326"/>
    <cellStyle name="_KT (2)_5_BC CV 6403 BKHĐT" xfId="327"/>
    <cellStyle name="_KT (2)_5_BC NQ11-CP - chinh sua lai" xfId="328"/>
    <cellStyle name="_KT (2)_5_BC NQ11-CP-Quynh sau bieu so3" xfId="329"/>
    <cellStyle name="_KT (2)_5_BC_NQ11-CP_-_Thao_sua_lai" xfId="330"/>
    <cellStyle name="_KT (2)_5_Bieu mau cong trinh khoi cong moi 3-4" xfId="331"/>
    <cellStyle name="_KT (2)_5_Bieu3ODA" xfId="332"/>
    <cellStyle name="_KT (2)_5_Bieu3ODA_1" xfId="333"/>
    <cellStyle name="_KT (2)_5_Bieu4HTMT" xfId="334"/>
    <cellStyle name="_KT (2)_5_bo sung von KCH nam 2010 va Du an tre kho khan" xfId="335"/>
    <cellStyle name="_KT (2)_5_Book1" xfId="336"/>
    <cellStyle name="_KT (2)_5_Book1_1" xfId="337"/>
    <cellStyle name="_KT (2)_5_Book1_1_BC CV 6403 BKHĐT" xfId="338"/>
    <cellStyle name="_KT (2)_5_Book1_1_Bieu mau cong trinh khoi cong moi 3-4" xfId="339"/>
    <cellStyle name="_KT (2)_5_Book1_1_Bieu3ODA" xfId="340"/>
    <cellStyle name="_KT (2)_5_Book1_1_Bieu4HTMT" xfId="341"/>
    <cellStyle name="_KT (2)_5_Book1_1_Book1" xfId="342"/>
    <cellStyle name="_KT (2)_5_Book1_1_Luy ke von ung nam 2011 -Thoa gui ngay 12-8-2012" xfId="343"/>
    <cellStyle name="_KT (2)_5_Book1_2" xfId="344"/>
    <cellStyle name="_KT (2)_5_Book1_2_BC CV 6403 BKHĐT" xfId="345"/>
    <cellStyle name="_KT (2)_5_Book1_2_Bieu3ODA" xfId="346"/>
    <cellStyle name="_KT (2)_5_Book1_2_Luy ke von ung nam 2011 -Thoa gui ngay 12-8-2012" xfId="347"/>
    <cellStyle name="_KT (2)_5_Book1_3" xfId="348"/>
    <cellStyle name="_KT (2)_5_Book1_BC CV 6403 BKHĐT" xfId="349"/>
    <cellStyle name="_KT (2)_5_Book1_Bieu mau cong trinh khoi cong moi 3-4" xfId="350"/>
    <cellStyle name="_KT (2)_5_Book1_Bieu3ODA" xfId="351"/>
    <cellStyle name="_KT (2)_5_Book1_Bieu4HTMT" xfId="352"/>
    <cellStyle name="_KT (2)_5_Book1_bo sung von KCH nam 2010 va Du an tre kho khan" xfId="353"/>
    <cellStyle name="_KT (2)_5_Book1_danh muc chuan bi dau tu 2011 ngay 07-6-2011" xfId="354"/>
    <cellStyle name="_KT (2)_5_Book1_Danh muc pbo nguon von XSKT, XDCB nam 2009 chuyen qua nam 2010" xfId="355"/>
    <cellStyle name="_KT (2)_5_Book1_dieu chinh KH 2011 ngay 26-5-2011111" xfId="356"/>
    <cellStyle name="_KT (2)_5_Book1_DS KCH PHAN BO VON NSDP NAM 2010" xfId="357"/>
    <cellStyle name="_KT (2)_5_Book1_giao KH 2011 ngay 10-12-2010" xfId="358"/>
    <cellStyle name="_KT (2)_5_Book1_Luy ke von ung nam 2011 -Thoa gui ngay 12-8-2012" xfId="359"/>
    <cellStyle name="_KT (2)_5_CAU Khanh Nam(Thi Cong)" xfId="360"/>
    <cellStyle name="_KT (2)_5_CoCauPhi (version 1)" xfId="362"/>
    <cellStyle name="_KT (2)_5_ChiHuong_ApGia" xfId="361"/>
    <cellStyle name="_KT (2)_5_danh muc chuan bi dau tu 2011 ngay 07-6-2011" xfId="363"/>
    <cellStyle name="_KT (2)_5_Danh muc pbo nguon von XSKT, XDCB nam 2009 chuyen qua nam 2010" xfId="364"/>
    <cellStyle name="_KT (2)_5_DAU NOI PL-CL TAI PHU LAMHC" xfId="365"/>
    <cellStyle name="_KT (2)_5_dieu chinh KH 2011 ngay 26-5-2011111" xfId="366"/>
    <cellStyle name="_KT (2)_5_DS KCH PHAN BO VON NSDP NAM 2010" xfId="367"/>
    <cellStyle name="_KT (2)_5_DU TRU VAT TU" xfId="368"/>
    <cellStyle name="_KT (2)_5_GTGT 2003" xfId="370"/>
    <cellStyle name="_KT (2)_5_giao KH 2011 ngay 10-12-2010" xfId="369"/>
    <cellStyle name="_KT (2)_5_KE KHAI THUE GTGT 2004" xfId="371"/>
    <cellStyle name="_KT (2)_5_KE KHAI THUE GTGT 2004_BCTC2004" xfId="372"/>
    <cellStyle name="_KT (2)_5_kien giang 2" xfId="374"/>
    <cellStyle name="_KT (2)_5_KH TPCP vung TNB (03-1-2012)" xfId="373"/>
    <cellStyle name="_KT (2)_5_Lora-tungchau" xfId="375"/>
    <cellStyle name="_KT (2)_5_Luy ke von ung nam 2011 -Thoa gui ngay 12-8-2012" xfId="376"/>
    <cellStyle name="_KT (2)_5_N-X-T-04" xfId="378"/>
    <cellStyle name="_KT (2)_5_NhanCong" xfId="377"/>
    <cellStyle name="_KT (2)_5_phu luc tong ket tinh hinh TH giai doan 03-10 (ngay 30)" xfId="379"/>
    <cellStyle name="_KT (2)_5_Qt-HT3PQ1(CauKho)" xfId="380"/>
    <cellStyle name="_KT (2)_5_Sheet1" xfId="381"/>
    <cellStyle name="_KT (2)_5_TK152-04" xfId="382"/>
    <cellStyle name="_KT (2)_5_ÿÿÿÿÿ" xfId="383"/>
    <cellStyle name="_KT (2)_5_ÿÿÿÿÿ_Bieu mau cong trinh khoi cong moi 3-4" xfId="384"/>
    <cellStyle name="_KT (2)_5_ÿÿÿÿÿ_Bieu3ODA" xfId="385"/>
    <cellStyle name="_KT (2)_5_ÿÿÿÿÿ_Bieu4HTMT" xfId="386"/>
    <cellStyle name="_KT (2)_5_ÿÿÿÿÿ_kien giang 2" xfId="388"/>
    <cellStyle name="_KT (2)_5_ÿÿÿÿÿ_KH TPCP vung TNB (03-1-2012)" xfId="387"/>
    <cellStyle name="_KT (2)_BC  NAM 2007" xfId="389"/>
    <cellStyle name="_KT (2)_Bieu mau cong trinh khoi cong moi 3-4" xfId="390"/>
    <cellStyle name="_KT (2)_Bieu3ODA" xfId="391"/>
    <cellStyle name="_KT (2)_Bieu3ODA_1" xfId="392"/>
    <cellStyle name="_KT (2)_Bieu4HTMT" xfId="393"/>
    <cellStyle name="_KT (2)_bo sung von KCH nam 2010 va Du an tre kho khan" xfId="394"/>
    <cellStyle name="_KT (2)_Book1" xfId="395"/>
    <cellStyle name="_KT (2)_Book1_kien giang 2" xfId="397"/>
    <cellStyle name="_KT (2)_Book1_KH TPCP vung TNB (03-1-2012)" xfId="396"/>
    <cellStyle name="_KT (2)_danh muc chuan bi dau tu 2011 ngay 07-6-2011" xfId="398"/>
    <cellStyle name="_KT (2)_Danh muc pbo nguon von XSKT, XDCB nam 2009 chuyen qua nam 2010" xfId="399"/>
    <cellStyle name="_KT (2)_dieu chinh KH 2011 ngay 26-5-2011111" xfId="400"/>
    <cellStyle name="_KT (2)_DS KCH PHAN BO VON NSDP NAM 2010" xfId="401"/>
    <cellStyle name="_KT (2)_GTGT 2003" xfId="403"/>
    <cellStyle name="_KT (2)_giao KH 2011 ngay 10-12-2010" xfId="402"/>
    <cellStyle name="_KT (2)_KE KHAI THUE GTGT 2004" xfId="404"/>
    <cellStyle name="_KT (2)_KE KHAI THUE GTGT 2004_BCTC2004" xfId="405"/>
    <cellStyle name="_KT (2)_kien giang 2" xfId="407"/>
    <cellStyle name="_KT (2)_KH TPCP vung TNB (03-1-2012)" xfId="406"/>
    <cellStyle name="_KT (2)_Lora-tungchau" xfId="408"/>
    <cellStyle name="_KT (2)_N-X-T-04" xfId="409"/>
    <cellStyle name="_KT (2)_PERSONAL" xfId="410"/>
    <cellStyle name="_KT (2)_PERSONAL_BC CV 6403 BKHĐT" xfId="411"/>
    <cellStyle name="_KT (2)_PERSONAL_Bieu mau cong trinh khoi cong moi 3-4" xfId="412"/>
    <cellStyle name="_KT (2)_PERSONAL_Bieu3ODA" xfId="413"/>
    <cellStyle name="_KT (2)_PERSONAL_Bieu4HTMT" xfId="414"/>
    <cellStyle name="_KT (2)_PERSONAL_Book1" xfId="415"/>
    <cellStyle name="_KT (2)_PERSONAL_Luy ke von ung nam 2011 -Thoa gui ngay 12-8-2012" xfId="416"/>
    <cellStyle name="_KT (2)_PERSONAL_Tong hop KHCB 2001" xfId="417"/>
    <cellStyle name="_KT (2)_Qt-HT3PQ1(CauKho)" xfId="418"/>
    <cellStyle name="_KT (2)_TG-TH" xfId="419"/>
    <cellStyle name="_KT (2)_TK152-04" xfId="420"/>
    <cellStyle name="_KT (2)_ÿÿÿÿÿ" xfId="421"/>
    <cellStyle name="_KT (2)_ÿÿÿÿÿ_kien giang 2" xfId="423"/>
    <cellStyle name="_KT (2)_ÿÿÿÿÿ_KH TPCP vung TNB (03-1-2012)" xfId="422"/>
    <cellStyle name="_KT_TG" xfId="424"/>
    <cellStyle name="_KT_TG_1" xfId="425"/>
    <cellStyle name="_KT_TG_1_ApGiaVatTu_cayxanh_latgach" xfId="426"/>
    <cellStyle name="_KT_TG_1_BANG TONG HOP TINH HINH THANH QUYET TOAN (MOI I)" xfId="427"/>
    <cellStyle name="_KT_TG_1_BAO GIA NGAY 24-10-08 (co dam)" xfId="428"/>
    <cellStyle name="_KT_TG_1_BC  NAM 2007" xfId="429"/>
    <cellStyle name="_KT_TG_1_BC CV 6403 BKHĐT" xfId="430"/>
    <cellStyle name="_KT_TG_1_BC NQ11-CP - chinh sua lai" xfId="431"/>
    <cellStyle name="_KT_TG_1_BC NQ11-CP-Quynh sau bieu so3" xfId="432"/>
    <cellStyle name="_KT_TG_1_BC_NQ11-CP_-_Thao_sua_lai" xfId="433"/>
    <cellStyle name="_KT_TG_1_Bieu mau cong trinh khoi cong moi 3-4" xfId="434"/>
    <cellStyle name="_KT_TG_1_Bieu3ODA" xfId="435"/>
    <cellStyle name="_KT_TG_1_Bieu3ODA_1" xfId="436"/>
    <cellStyle name="_KT_TG_1_Bieu4HTMT" xfId="437"/>
    <cellStyle name="_KT_TG_1_bo sung von KCH nam 2010 va Du an tre kho khan" xfId="438"/>
    <cellStyle name="_KT_TG_1_Book1" xfId="439"/>
    <cellStyle name="_KT_TG_1_Book1_1" xfId="440"/>
    <cellStyle name="_KT_TG_1_Book1_1_BC CV 6403 BKHĐT" xfId="441"/>
    <cellStyle name="_KT_TG_1_Book1_1_Bieu mau cong trinh khoi cong moi 3-4" xfId="442"/>
    <cellStyle name="_KT_TG_1_Book1_1_Bieu3ODA" xfId="443"/>
    <cellStyle name="_KT_TG_1_Book1_1_Bieu4HTMT" xfId="444"/>
    <cellStyle name="_KT_TG_1_Book1_1_Book1" xfId="445"/>
    <cellStyle name="_KT_TG_1_Book1_1_Luy ke von ung nam 2011 -Thoa gui ngay 12-8-2012" xfId="446"/>
    <cellStyle name="_KT_TG_1_Book1_2" xfId="447"/>
    <cellStyle name="_KT_TG_1_Book1_2_BC CV 6403 BKHĐT" xfId="448"/>
    <cellStyle name="_KT_TG_1_Book1_2_Bieu3ODA" xfId="449"/>
    <cellStyle name="_KT_TG_1_Book1_2_Luy ke von ung nam 2011 -Thoa gui ngay 12-8-2012" xfId="450"/>
    <cellStyle name="_KT_TG_1_Book1_3" xfId="451"/>
    <cellStyle name="_KT_TG_1_Book1_BC CV 6403 BKHĐT" xfId="452"/>
    <cellStyle name="_KT_TG_1_Book1_Bieu mau cong trinh khoi cong moi 3-4" xfId="453"/>
    <cellStyle name="_KT_TG_1_Book1_Bieu3ODA" xfId="454"/>
    <cellStyle name="_KT_TG_1_Book1_Bieu4HTMT" xfId="455"/>
    <cellStyle name="_KT_TG_1_Book1_bo sung von KCH nam 2010 va Du an tre kho khan" xfId="456"/>
    <cellStyle name="_KT_TG_1_Book1_danh muc chuan bi dau tu 2011 ngay 07-6-2011" xfId="457"/>
    <cellStyle name="_KT_TG_1_Book1_Danh muc pbo nguon von XSKT, XDCB nam 2009 chuyen qua nam 2010" xfId="458"/>
    <cellStyle name="_KT_TG_1_Book1_dieu chinh KH 2011 ngay 26-5-2011111" xfId="459"/>
    <cellStyle name="_KT_TG_1_Book1_DS KCH PHAN BO VON NSDP NAM 2010" xfId="460"/>
    <cellStyle name="_KT_TG_1_Book1_giao KH 2011 ngay 10-12-2010" xfId="461"/>
    <cellStyle name="_KT_TG_1_Book1_Luy ke von ung nam 2011 -Thoa gui ngay 12-8-2012" xfId="462"/>
    <cellStyle name="_KT_TG_1_CAU Khanh Nam(Thi Cong)" xfId="463"/>
    <cellStyle name="_KT_TG_1_CoCauPhi (version 1)" xfId="465"/>
    <cellStyle name="_KT_TG_1_ChiHuong_ApGia" xfId="464"/>
    <cellStyle name="_KT_TG_1_danh muc chuan bi dau tu 2011 ngay 07-6-2011" xfId="466"/>
    <cellStyle name="_KT_TG_1_Danh muc pbo nguon von XSKT, XDCB nam 2009 chuyen qua nam 2010" xfId="467"/>
    <cellStyle name="_KT_TG_1_DAU NOI PL-CL TAI PHU LAMHC" xfId="468"/>
    <cellStyle name="_KT_TG_1_dieu chinh KH 2011 ngay 26-5-2011111" xfId="469"/>
    <cellStyle name="_KT_TG_1_DS KCH PHAN BO VON NSDP NAM 2010" xfId="470"/>
    <cellStyle name="_KT_TG_1_DU TRU VAT TU" xfId="471"/>
    <cellStyle name="_KT_TG_1_GTGT 2003" xfId="473"/>
    <cellStyle name="_KT_TG_1_giao KH 2011 ngay 10-12-2010" xfId="472"/>
    <cellStyle name="_KT_TG_1_KE KHAI THUE GTGT 2004" xfId="474"/>
    <cellStyle name="_KT_TG_1_KE KHAI THUE GTGT 2004_BCTC2004" xfId="475"/>
    <cellStyle name="_KT_TG_1_kien giang 2" xfId="477"/>
    <cellStyle name="_KT_TG_1_KH TPCP vung TNB (03-1-2012)" xfId="476"/>
    <cellStyle name="_KT_TG_1_Lora-tungchau" xfId="478"/>
    <cellStyle name="_KT_TG_1_Luy ke von ung nam 2011 -Thoa gui ngay 12-8-2012" xfId="479"/>
    <cellStyle name="_KT_TG_1_N-X-T-04" xfId="481"/>
    <cellStyle name="_KT_TG_1_NhanCong" xfId="480"/>
    <cellStyle name="_KT_TG_1_phu luc tong ket tinh hinh TH giai doan 03-10 (ngay 30)" xfId="482"/>
    <cellStyle name="_KT_TG_1_Qt-HT3PQ1(CauKho)" xfId="483"/>
    <cellStyle name="_KT_TG_1_Sheet1" xfId="484"/>
    <cellStyle name="_KT_TG_1_TK152-04" xfId="485"/>
    <cellStyle name="_KT_TG_1_ÿÿÿÿÿ" xfId="486"/>
    <cellStyle name="_KT_TG_1_ÿÿÿÿÿ_Bieu mau cong trinh khoi cong moi 3-4" xfId="487"/>
    <cellStyle name="_KT_TG_1_ÿÿÿÿÿ_Bieu3ODA" xfId="488"/>
    <cellStyle name="_KT_TG_1_ÿÿÿÿÿ_Bieu4HTMT" xfId="489"/>
    <cellStyle name="_KT_TG_1_ÿÿÿÿÿ_kien giang 2" xfId="491"/>
    <cellStyle name="_KT_TG_1_ÿÿÿÿÿ_KH TPCP vung TNB (03-1-2012)" xfId="490"/>
    <cellStyle name="_KT_TG_2" xfId="492"/>
    <cellStyle name="_KT_TG_2_ApGiaVatTu_cayxanh_latgach" xfId="493"/>
    <cellStyle name="_KT_TG_2_BANG TONG HOP TINH HINH THANH QUYET TOAN (MOI I)" xfId="494"/>
    <cellStyle name="_KT_TG_2_BAO GIA NGAY 24-10-08 (co dam)" xfId="495"/>
    <cellStyle name="_KT_TG_2_BC  NAM 2007" xfId="496"/>
    <cellStyle name="_KT_TG_2_BC CV 6403 BKHĐT" xfId="497"/>
    <cellStyle name="_KT_TG_2_BC NQ11-CP - chinh sua lai" xfId="498"/>
    <cellStyle name="_KT_TG_2_BC NQ11-CP-Quynh sau bieu so3" xfId="499"/>
    <cellStyle name="_KT_TG_2_BC_NQ11-CP_-_Thao_sua_lai" xfId="500"/>
    <cellStyle name="_KT_TG_2_Bieu mau cong trinh khoi cong moi 3-4" xfId="501"/>
    <cellStyle name="_KT_TG_2_Bieu3ODA" xfId="502"/>
    <cellStyle name="_KT_TG_2_Bieu3ODA_1" xfId="503"/>
    <cellStyle name="_KT_TG_2_Bieu4HTMT" xfId="504"/>
    <cellStyle name="_KT_TG_2_bo sung von KCH nam 2010 va Du an tre kho khan" xfId="505"/>
    <cellStyle name="_KT_TG_2_Book1" xfId="506"/>
    <cellStyle name="_KT_TG_2_Book1_1" xfId="507"/>
    <cellStyle name="_KT_TG_2_Book1_1_BC CV 6403 BKHĐT" xfId="508"/>
    <cellStyle name="_KT_TG_2_Book1_1_Bieu mau cong trinh khoi cong moi 3-4" xfId="509"/>
    <cellStyle name="_KT_TG_2_Book1_1_Bieu3ODA" xfId="510"/>
    <cellStyle name="_KT_TG_2_Book1_1_Bieu4HTMT" xfId="511"/>
    <cellStyle name="_KT_TG_2_Book1_1_Book1" xfId="512"/>
    <cellStyle name="_KT_TG_2_Book1_1_Luy ke von ung nam 2011 -Thoa gui ngay 12-8-2012" xfId="513"/>
    <cellStyle name="_KT_TG_2_Book1_2" xfId="514"/>
    <cellStyle name="_KT_TG_2_Book1_2_BC CV 6403 BKHĐT" xfId="515"/>
    <cellStyle name="_KT_TG_2_Book1_2_Bieu3ODA" xfId="516"/>
    <cellStyle name="_KT_TG_2_Book1_2_Luy ke von ung nam 2011 -Thoa gui ngay 12-8-2012" xfId="517"/>
    <cellStyle name="_KT_TG_2_Book1_3" xfId="518"/>
    <cellStyle name="_KT_TG_2_Book1_BC CV 6403 BKHĐT" xfId="519"/>
    <cellStyle name="_KT_TG_2_Book1_Bieu mau cong trinh khoi cong moi 3-4" xfId="520"/>
    <cellStyle name="_KT_TG_2_Book1_Bieu3ODA" xfId="521"/>
    <cellStyle name="_KT_TG_2_Book1_Bieu4HTMT" xfId="522"/>
    <cellStyle name="_KT_TG_2_Book1_bo sung von KCH nam 2010 va Du an tre kho khan" xfId="523"/>
    <cellStyle name="_KT_TG_2_Book1_danh muc chuan bi dau tu 2011 ngay 07-6-2011" xfId="524"/>
    <cellStyle name="_KT_TG_2_Book1_Danh muc pbo nguon von XSKT, XDCB nam 2009 chuyen qua nam 2010" xfId="525"/>
    <cellStyle name="_KT_TG_2_Book1_dieu chinh KH 2011 ngay 26-5-2011111" xfId="526"/>
    <cellStyle name="_KT_TG_2_Book1_DS KCH PHAN BO VON NSDP NAM 2010" xfId="527"/>
    <cellStyle name="_KT_TG_2_Book1_giao KH 2011 ngay 10-12-2010" xfId="528"/>
    <cellStyle name="_KT_TG_2_Book1_Luy ke von ung nam 2011 -Thoa gui ngay 12-8-2012" xfId="529"/>
    <cellStyle name="_KT_TG_2_CAU Khanh Nam(Thi Cong)" xfId="530"/>
    <cellStyle name="_KT_TG_2_CoCauPhi (version 1)" xfId="532"/>
    <cellStyle name="_KT_TG_2_ChiHuong_ApGia" xfId="531"/>
    <cellStyle name="_KT_TG_2_danh muc chuan bi dau tu 2011 ngay 07-6-2011" xfId="533"/>
    <cellStyle name="_KT_TG_2_Danh muc pbo nguon von XSKT, XDCB nam 2009 chuyen qua nam 2010" xfId="534"/>
    <cellStyle name="_KT_TG_2_DAU NOI PL-CL TAI PHU LAMHC" xfId="535"/>
    <cellStyle name="_KT_TG_2_dieu chinh KH 2011 ngay 26-5-2011111" xfId="536"/>
    <cellStyle name="_KT_TG_2_DS KCH PHAN BO VON NSDP NAM 2010" xfId="537"/>
    <cellStyle name="_KT_TG_2_DU TRU VAT TU" xfId="538"/>
    <cellStyle name="_KT_TG_2_GTGT 2003" xfId="540"/>
    <cellStyle name="_KT_TG_2_giao KH 2011 ngay 10-12-2010" xfId="539"/>
    <cellStyle name="_KT_TG_2_KE KHAI THUE GTGT 2004" xfId="541"/>
    <cellStyle name="_KT_TG_2_KE KHAI THUE GTGT 2004_BCTC2004" xfId="542"/>
    <cellStyle name="_KT_TG_2_kien giang 2" xfId="544"/>
    <cellStyle name="_KT_TG_2_KH TPCP vung TNB (03-1-2012)" xfId="543"/>
    <cellStyle name="_KT_TG_2_Lora-tungchau" xfId="545"/>
    <cellStyle name="_KT_TG_2_Luy ke von ung nam 2011 -Thoa gui ngay 12-8-2012" xfId="546"/>
    <cellStyle name="_KT_TG_2_N-X-T-04" xfId="548"/>
    <cellStyle name="_KT_TG_2_NhanCong" xfId="547"/>
    <cellStyle name="_KT_TG_2_phu luc tong ket tinh hinh TH giai doan 03-10 (ngay 30)" xfId="549"/>
    <cellStyle name="_KT_TG_2_Qt-HT3PQ1(CauKho)" xfId="550"/>
    <cellStyle name="_KT_TG_2_Sheet1" xfId="551"/>
    <cellStyle name="_KT_TG_2_TK152-04" xfId="552"/>
    <cellStyle name="_KT_TG_2_ÿÿÿÿÿ" xfId="553"/>
    <cellStyle name="_KT_TG_2_ÿÿÿÿÿ_Bieu mau cong trinh khoi cong moi 3-4" xfId="554"/>
    <cellStyle name="_KT_TG_2_ÿÿÿÿÿ_Bieu3ODA" xfId="555"/>
    <cellStyle name="_KT_TG_2_ÿÿÿÿÿ_Bieu4HTMT" xfId="556"/>
    <cellStyle name="_KT_TG_2_ÿÿÿÿÿ_kien giang 2" xfId="558"/>
    <cellStyle name="_KT_TG_2_ÿÿÿÿÿ_KH TPCP vung TNB (03-1-2012)" xfId="557"/>
    <cellStyle name="_KT_TG_3" xfId="559"/>
    <cellStyle name="_KT_TG_4" xfId="560"/>
    <cellStyle name="_KT_TG_4_Lora-tungchau" xfId="561"/>
    <cellStyle name="_KT_TG_4_Qt-HT3PQ1(CauKho)" xfId="562"/>
    <cellStyle name="_KH 2012 (TPCP) Bac Lieu (25-12-2011)" xfId="141"/>
    <cellStyle name="_Kh ql62 (2010) 11-09" xfId="142"/>
    <cellStyle name="_KH TPCP vung TNB (03-1-2012)" xfId="143"/>
    <cellStyle name="_Khung 2012" xfId="144"/>
    <cellStyle name="_Lora-tungchau" xfId="563"/>
    <cellStyle name="_Luy ke von ung nam 2011 -Thoa gui ngay 12-8-2012" xfId="564"/>
    <cellStyle name="_mau so 3" xfId="565"/>
    <cellStyle name="_MauThanTKKT-goi7-DonGia2143(vl t7)" xfId="566"/>
    <cellStyle name="_MauThanTKKT-goi7-DonGia2143(vl t7)_!1 1 bao cao giao KH ve HTCMT vung TNB   12-12-2011" xfId="567"/>
    <cellStyle name="_MauThanTKKT-goi7-DonGia2143(vl t7)_Bieu4HTMT" xfId="568"/>
    <cellStyle name="_MauThanTKKT-goi7-DonGia2143(vl t7)_Bieu4HTMT_!1 1 bao cao giao KH ve HTCMT vung TNB   12-12-2011" xfId="569"/>
    <cellStyle name="_MauThanTKKT-goi7-DonGia2143(vl t7)_Bieu4HTMT_KH TPCP vung TNB (03-1-2012)" xfId="570"/>
    <cellStyle name="_MauThanTKKT-goi7-DonGia2143(vl t7)_KH TPCP vung TNB (03-1-2012)" xfId="571"/>
    <cellStyle name="_N-X-T-04" xfId="578"/>
    <cellStyle name="_Nhu cau von ung truoc 2011 Tha h Hoa + Nge An gui TW" xfId="572"/>
    <cellStyle name="_Nhu cau von ung truoc 2011 Tha h Hoa + Nge An gui TW_!1 1 bao cao giao KH ve HTCMT vung TNB   12-12-2011" xfId="573"/>
    <cellStyle name="_Nhu cau von ung truoc 2011 Tha h Hoa + Nge An gui TW_Bieu4HTMT" xfId="574"/>
    <cellStyle name="_Nhu cau von ung truoc 2011 Tha h Hoa + Nge An gui TW_Bieu4HTMT_!1 1 bao cao giao KH ve HTCMT vung TNB   12-12-2011" xfId="575"/>
    <cellStyle name="_Nhu cau von ung truoc 2011 Tha h Hoa + Nge An gui TW_Bieu4HTMT_KH TPCP vung TNB (03-1-2012)" xfId="576"/>
    <cellStyle name="_Nhu cau von ung truoc 2011 Tha h Hoa + Nge An gui TW_KH TPCP vung TNB (03-1-2012)" xfId="577"/>
    <cellStyle name="_PERSONAL" xfId="579"/>
    <cellStyle name="_PERSONAL_BC CV 6403 BKHĐT" xfId="580"/>
    <cellStyle name="_PERSONAL_Bieu mau cong trinh khoi cong moi 3-4" xfId="581"/>
    <cellStyle name="_PERSONAL_Bieu3ODA" xfId="582"/>
    <cellStyle name="_PERSONAL_Bieu4HTMT" xfId="583"/>
    <cellStyle name="_PERSONAL_Book1" xfId="584"/>
    <cellStyle name="_PERSONAL_Luy ke von ung nam 2011 -Thoa gui ngay 12-8-2012" xfId="585"/>
    <cellStyle name="_PERSONAL_Tong hop KHCB 2001" xfId="586"/>
    <cellStyle name="_phong bo mon22" xfId="587"/>
    <cellStyle name="_phong bo mon22_!1 1 bao cao giao KH ve HTCMT vung TNB   12-12-2011" xfId="588"/>
    <cellStyle name="_phong bo mon22_KH TPCP vung TNB (03-1-2012)" xfId="589"/>
    <cellStyle name="_phu luc tong ket tinh hinh TH giai doan 03-10 (ngay 30)" xfId="590"/>
    <cellStyle name="_Q TOAN  SCTX QL.62 QUI I ( oanh)" xfId="591"/>
    <cellStyle name="_Q TOAN  SCTX QL.62 QUI II ( oanh)" xfId="592"/>
    <cellStyle name="_QT SCTXQL62_QT1 (Cty QL)" xfId="593"/>
    <cellStyle name="_Qt-HT3PQ1(CauKho)" xfId="594"/>
    <cellStyle name="_Sheet1" xfId="595"/>
    <cellStyle name="_Sheet2" xfId="596"/>
    <cellStyle name="_TG-TH" xfId="597"/>
    <cellStyle name="_TG-TH_1" xfId="598"/>
    <cellStyle name="_TG-TH_1_ApGiaVatTu_cayxanh_latgach" xfId="599"/>
    <cellStyle name="_TG-TH_1_BANG TONG HOP TINH HINH THANH QUYET TOAN (MOI I)" xfId="600"/>
    <cellStyle name="_TG-TH_1_BAO GIA NGAY 24-10-08 (co dam)" xfId="601"/>
    <cellStyle name="_TG-TH_1_BC  NAM 2007" xfId="602"/>
    <cellStyle name="_TG-TH_1_BC CV 6403 BKHĐT" xfId="603"/>
    <cellStyle name="_TG-TH_1_BC NQ11-CP - chinh sua lai" xfId="604"/>
    <cellStyle name="_TG-TH_1_BC NQ11-CP-Quynh sau bieu so3" xfId="605"/>
    <cellStyle name="_TG-TH_1_BC_NQ11-CP_-_Thao_sua_lai" xfId="606"/>
    <cellStyle name="_TG-TH_1_Bieu mau cong trinh khoi cong moi 3-4" xfId="607"/>
    <cellStyle name="_TG-TH_1_Bieu3ODA" xfId="608"/>
    <cellStyle name="_TG-TH_1_Bieu3ODA_1" xfId="609"/>
    <cellStyle name="_TG-TH_1_Bieu4HTMT" xfId="610"/>
    <cellStyle name="_TG-TH_1_bo sung von KCH nam 2010 va Du an tre kho khan" xfId="611"/>
    <cellStyle name="_TG-TH_1_Book1" xfId="612"/>
    <cellStyle name="_TG-TH_1_Book1_1" xfId="613"/>
    <cellStyle name="_TG-TH_1_Book1_1_BC CV 6403 BKHĐT" xfId="614"/>
    <cellStyle name="_TG-TH_1_Book1_1_Bieu mau cong trinh khoi cong moi 3-4" xfId="615"/>
    <cellStyle name="_TG-TH_1_Book1_1_Bieu3ODA" xfId="616"/>
    <cellStyle name="_TG-TH_1_Book1_1_Bieu4HTMT" xfId="617"/>
    <cellStyle name="_TG-TH_1_Book1_1_Book1" xfId="618"/>
    <cellStyle name="_TG-TH_1_Book1_1_Luy ke von ung nam 2011 -Thoa gui ngay 12-8-2012" xfId="619"/>
    <cellStyle name="_TG-TH_1_Book1_2" xfId="620"/>
    <cellStyle name="_TG-TH_1_Book1_2_BC CV 6403 BKHĐT" xfId="621"/>
    <cellStyle name="_TG-TH_1_Book1_2_Bieu3ODA" xfId="622"/>
    <cellStyle name="_TG-TH_1_Book1_2_Luy ke von ung nam 2011 -Thoa gui ngay 12-8-2012" xfId="623"/>
    <cellStyle name="_TG-TH_1_Book1_3" xfId="624"/>
    <cellStyle name="_TG-TH_1_Book1_BC CV 6403 BKHĐT" xfId="625"/>
    <cellStyle name="_TG-TH_1_Book1_Bieu mau cong trinh khoi cong moi 3-4" xfId="626"/>
    <cellStyle name="_TG-TH_1_Book1_Bieu3ODA" xfId="627"/>
    <cellStyle name="_TG-TH_1_Book1_Bieu4HTMT" xfId="628"/>
    <cellStyle name="_TG-TH_1_Book1_bo sung von KCH nam 2010 va Du an tre kho khan" xfId="629"/>
    <cellStyle name="_TG-TH_1_Book1_danh muc chuan bi dau tu 2011 ngay 07-6-2011" xfId="630"/>
    <cellStyle name="_TG-TH_1_Book1_Danh muc pbo nguon von XSKT, XDCB nam 2009 chuyen qua nam 2010" xfId="631"/>
    <cellStyle name="_TG-TH_1_Book1_dieu chinh KH 2011 ngay 26-5-2011111" xfId="632"/>
    <cellStyle name="_TG-TH_1_Book1_DS KCH PHAN BO VON NSDP NAM 2010" xfId="633"/>
    <cellStyle name="_TG-TH_1_Book1_giao KH 2011 ngay 10-12-2010" xfId="634"/>
    <cellStyle name="_TG-TH_1_Book1_Luy ke von ung nam 2011 -Thoa gui ngay 12-8-2012" xfId="635"/>
    <cellStyle name="_TG-TH_1_CAU Khanh Nam(Thi Cong)" xfId="636"/>
    <cellStyle name="_TG-TH_1_CoCauPhi (version 1)" xfId="638"/>
    <cellStyle name="_TG-TH_1_ChiHuong_ApGia" xfId="637"/>
    <cellStyle name="_TG-TH_1_danh muc chuan bi dau tu 2011 ngay 07-6-2011" xfId="639"/>
    <cellStyle name="_TG-TH_1_Danh muc pbo nguon von XSKT, XDCB nam 2009 chuyen qua nam 2010" xfId="640"/>
    <cellStyle name="_TG-TH_1_DAU NOI PL-CL TAI PHU LAMHC" xfId="641"/>
    <cellStyle name="_TG-TH_1_dieu chinh KH 2011 ngay 26-5-2011111" xfId="642"/>
    <cellStyle name="_TG-TH_1_DS KCH PHAN BO VON NSDP NAM 2010" xfId="643"/>
    <cellStyle name="_TG-TH_1_DU TRU VAT TU" xfId="644"/>
    <cellStyle name="_TG-TH_1_GTGT 2003" xfId="646"/>
    <cellStyle name="_TG-TH_1_giao KH 2011 ngay 10-12-2010" xfId="645"/>
    <cellStyle name="_TG-TH_1_KE KHAI THUE GTGT 2004" xfId="647"/>
    <cellStyle name="_TG-TH_1_KE KHAI THUE GTGT 2004_BCTC2004" xfId="648"/>
    <cellStyle name="_TG-TH_1_kien giang 2" xfId="650"/>
    <cellStyle name="_TG-TH_1_KH TPCP vung TNB (03-1-2012)" xfId="649"/>
    <cellStyle name="_TG-TH_1_Lora-tungchau" xfId="651"/>
    <cellStyle name="_TG-TH_1_Luy ke von ung nam 2011 -Thoa gui ngay 12-8-2012" xfId="652"/>
    <cellStyle name="_TG-TH_1_N-X-T-04" xfId="654"/>
    <cellStyle name="_TG-TH_1_NhanCong" xfId="653"/>
    <cellStyle name="_TG-TH_1_phu luc tong ket tinh hinh TH giai doan 03-10 (ngay 30)" xfId="655"/>
    <cellStyle name="_TG-TH_1_Qt-HT3PQ1(CauKho)" xfId="656"/>
    <cellStyle name="_TG-TH_1_Sheet1" xfId="657"/>
    <cellStyle name="_TG-TH_1_TK152-04" xfId="658"/>
    <cellStyle name="_TG-TH_1_ÿÿÿÿÿ" xfId="659"/>
    <cellStyle name="_TG-TH_1_ÿÿÿÿÿ_Bieu mau cong trinh khoi cong moi 3-4" xfId="660"/>
    <cellStyle name="_TG-TH_1_ÿÿÿÿÿ_Bieu3ODA" xfId="661"/>
    <cellStyle name="_TG-TH_1_ÿÿÿÿÿ_Bieu4HTMT" xfId="662"/>
    <cellStyle name="_TG-TH_1_ÿÿÿÿÿ_kien giang 2" xfId="664"/>
    <cellStyle name="_TG-TH_1_ÿÿÿÿÿ_KH TPCP vung TNB (03-1-2012)" xfId="663"/>
    <cellStyle name="_TG-TH_2" xfId="665"/>
    <cellStyle name="_TG-TH_2_ApGiaVatTu_cayxanh_latgach" xfId="666"/>
    <cellStyle name="_TG-TH_2_BANG TONG HOP TINH HINH THANH QUYET TOAN (MOI I)" xfId="667"/>
    <cellStyle name="_TG-TH_2_BAO GIA NGAY 24-10-08 (co dam)" xfId="668"/>
    <cellStyle name="_TG-TH_2_BC  NAM 2007" xfId="669"/>
    <cellStyle name="_TG-TH_2_BC CV 6403 BKHĐT" xfId="670"/>
    <cellStyle name="_TG-TH_2_BC NQ11-CP - chinh sua lai" xfId="671"/>
    <cellStyle name="_TG-TH_2_BC NQ11-CP-Quynh sau bieu so3" xfId="672"/>
    <cellStyle name="_TG-TH_2_BC_NQ11-CP_-_Thao_sua_lai" xfId="673"/>
    <cellStyle name="_TG-TH_2_Bieu mau cong trinh khoi cong moi 3-4" xfId="674"/>
    <cellStyle name="_TG-TH_2_Bieu3ODA" xfId="675"/>
    <cellStyle name="_TG-TH_2_Bieu3ODA_1" xfId="676"/>
    <cellStyle name="_TG-TH_2_Bieu4HTMT" xfId="677"/>
    <cellStyle name="_TG-TH_2_bo sung von KCH nam 2010 va Du an tre kho khan" xfId="678"/>
    <cellStyle name="_TG-TH_2_Book1" xfId="679"/>
    <cellStyle name="_TG-TH_2_Book1_1" xfId="680"/>
    <cellStyle name="_TG-TH_2_Book1_1_BC CV 6403 BKHĐT" xfId="681"/>
    <cellStyle name="_TG-TH_2_Book1_1_Bieu mau cong trinh khoi cong moi 3-4" xfId="682"/>
    <cellStyle name="_TG-TH_2_Book1_1_Bieu3ODA" xfId="683"/>
    <cellStyle name="_TG-TH_2_Book1_1_Bieu4HTMT" xfId="684"/>
    <cellStyle name="_TG-TH_2_Book1_1_Book1" xfId="685"/>
    <cellStyle name="_TG-TH_2_Book1_1_Luy ke von ung nam 2011 -Thoa gui ngay 12-8-2012" xfId="686"/>
    <cellStyle name="_TG-TH_2_Book1_2" xfId="687"/>
    <cellStyle name="_TG-TH_2_Book1_2_BC CV 6403 BKHĐT" xfId="688"/>
    <cellStyle name="_TG-TH_2_Book1_2_Bieu3ODA" xfId="689"/>
    <cellStyle name="_TG-TH_2_Book1_2_Luy ke von ung nam 2011 -Thoa gui ngay 12-8-2012" xfId="690"/>
    <cellStyle name="_TG-TH_2_Book1_3" xfId="691"/>
    <cellStyle name="_TG-TH_2_Book1_BC CV 6403 BKHĐT" xfId="692"/>
    <cellStyle name="_TG-TH_2_Book1_Bieu mau cong trinh khoi cong moi 3-4" xfId="693"/>
    <cellStyle name="_TG-TH_2_Book1_Bieu3ODA" xfId="694"/>
    <cellStyle name="_TG-TH_2_Book1_Bieu4HTMT" xfId="695"/>
    <cellStyle name="_TG-TH_2_Book1_bo sung von KCH nam 2010 va Du an tre kho khan" xfId="696"/>
    <cellStyle name="_TG-TH_2_Book1_danh muc chuan bi dau tu 2011 ngay 07-6-2011" xfId="697"/>
    <cellStyle name="_TG-TH_2_Book1_Danh muc pbo nguon von XSKT, XDCB nam 2009 chuyen qua nam 2010" xfId="698"/>
    <cellStyle name="_TG-TH_2_Book1_dieu chinh KH 2011 ngay 26-5-2011111" xfId="699"/>
    <cellStyle name="_TG-TH_2_Book1_DS KCH PHAN BO VON NSDP NAM 2010" xfId="700"/>
    <cellStyle name="_TG-TH_2_Book1_giao KH 2011 ngay 10-12-2010" xfId="701"/>
    <cellStyle name="_TG-TH_2_Book1_Luy ke von ung nam 2011 -Thoa gui ngay 12-8-2012" xfId="702"/>
    <cellStyle name="_TG-TH_2_CAU Khanh Nam(Thi Cong)" xfId="703"/>
    <cellStyle name="_TG-TH_2_CoCauPhi (version 1)" xfId="705"/>
    <cellStyle name="_TG-TH_2_ChiHuong_ApGia" xfId="704"/>
    <cellStyle name="_TG-TH_2_danh muc chuan bi dau tu 2011 ngay 07-6-2011" xfId="706"/>
    <cellStyle name="_TG-TH_2_Danh muc pbo nguon von XSKT, XDCB nam 2009 chuyen qua nam 2010" xfId="707"/>
    <cellStyle name="_TG-TH_2_DAU NOI PL-CL TAI PHU LAMHC" xfId="708"/>
    <cellStyle name="_TG-TH_2_dieu chinh KH 2011 ngay 26-5-2011111" xfId="709"/>
    <cellStyle name="_TG-TH_2_DS KCH PHAN BO VON NSDP NAM 2010" xfId="710"/>
    <cellStyle name="_TG-TH_2_DU TRU VAT TU" xfId="711"/>
    <cellStyle name="_TG-TH_2_GTGT 2003" xfId="713"/>
    <cellStyle name="_TG-TH_2_giao KH 2011 ngay 10-12-2010" xfId="712"/>
    <cellStyle name="_TG-TH_2_KE KHAI THUE GTGT 2004" xfId="714"/>
    <cellStyle name="_TG-TH_2_KE KHAI THUE GTGT 2004_BCTC2004" xfId="715"/>
    <cellStyle name="_TG-TH_2_kien giang 2" xfId="717"/>
    <cellStyle name="_TG-TH_2_KH TPCP vung TNB (03-1-2012)" xfId="716"/>
    <cellStyle name="_TG-TH_2_Lora-tungchau" xfId="718"/>
    <cellStyle name="_TG-TH_2_Luy ke von ung nam 2011 -Thoa gui ngay 12-8-2012" xfId="719"/>
    <cellStyle name="_TG-TH_2_N-X-T-04" xfId="721"/>
    <cellStyle name="_TG-TH_2_NhanCong" xfId="720"/>
    <cellStyle name="_TG-TH_2_phu luc tong ket tinh hinh TH giai doan 03-10 (ngay 30)" xfId="722"/>
    <cellStyle name="_TG-TH_2_Qt-HT3PQ1(CauKho)" xfId="723"/>
    <cellStyle name="_TG-TH_2_Sheet1" xfId="724"/>
    <cellStyle name="_TG-TH_2_TK152-04" xfId="725"/>
    <cellStyle name="_TG-TH_2_ÿÿÿÿÿ" xfId="726"/>
    <cellStyle name="_TG-TH_2_ÿÿÿÿÿ_Bieu mau cong trinh khoi cong moi 3-4" xfId="727"/>
    <cellStyle name="_TG-TH_2_ÿÿÿÿÿ_Bieu3ODA" xfId="728"/>
    <cellStyle name="_TG-TH_2_ÿÿÿÿÿ_Bieu4HTMT" xfId="729"/>
    <cellStyle name="_TG-TH_2_ÿÿÿÿÿ_kien giang 2" xfId="731"/>
    <cellStyle name="_TG-TH_2_ÿÿÿÿÿ_KH TPCP vung TNB (03-1-2012)" xfId="730"/>
    <cellStyle name="_TG-TH_3" xfId="732"/>
    <cellStyle name="_TG-TH_3_Lora-tungchau" xfId="733"/>
    <cellStyle name="_TG-TH_3_Qt-HT3PQ1(CauKho)" xfId="734"/>
    <cellStyle name="_TG-TH_4" xfId="735"/>
    <cellStyle name="_TK152-04" xfId="736"/>
    <cellStyle name="_Tong dutoan PP LAHAI" xfId="737"/>
    <cellStyle name="_TPCP GT-24-5-Mien Nui" xfId="738"/>
    <cellStyle name="_TPCP GT-24-5-Mien Nui_!1 1 bao cao giao KH ve HTCMT vung TNB   12-12-2011" xfId="739"/>
    <cellStyle name="_TPCP GT-24-5-Mien Nui_Bieu4HTMT" xfId="740"/>
    <cellStyle name="_TPCP GT-24-5-Mien Nui_Bieu4HTMT_!1 1 bao cao giao KH ve HTCMT vung TNB   12-12-2011" xfId="741"/>
    <cellStyle name="_TPCP GT-24-5-Mien Nui_Bieu4HTMT_KH TPCP vung TNB (03-1-2012)" xfId="742"/>
    <cellStyle name="_TPCP GT-24-5-Mien Nui_KH TPCP vung TNB (03-1-2012)" xfId="743"/>
    <cellStyle name="_ung truoc 2011 NSTW Thanh Hoa + Nge An gui Thu 12-5" xfId="744"/>
    <cellStyle name="_ung truoc 2011 NSTW Thanh Hoa + Nge An gui Thu 12-5_!1 1 bao cao giao KH ve HTCMT vung TNB   12-12-2011" xfId="745"/>
    <cellStyle name="_ung truoc 2011 NSTW Thanh Hoa + Nge An gui Thu 12-5_Bieu4HTMT" xfId="746"/>
    <cellStyle name="_ung truoc 2011 NSTW Thanh Hoa + Nge An gui Thu 12-5_Bieu4HTMT_!1 1 bao cao giao KH ve HTCMT vung TNB   12-12-2011" xfId="747"/>
    <cellStyle name="_ung truoc 2011 NSTW Thanh Hoa + Nge An gui Thu 12-5_Bieu4HTMT_KH TPCP vung TNB (03-1-2012)" xfId="748"/>
    <cellStyle name="_ung truoc 2011 NSTW Thanh Hoa + Nge An gui Thu 12-5_KH TPCP vung TNB (03-1-2012)" xfId="749"/>
    <cellStyle name="_ung truoc cua long an (6-5-2010)" xfId="750"/>
    <cellStyle name="_Ung von nam 2011 vung TNB - Doan Cong tac (12-5-2010)" xfId="751"/>
    <cellStyle name="_Ung von nam 2011 vung TNB - Doan Cong tac (12-5-2010)_!1 1 bao cao giao KH ve HTCMT vung TNB   12-12-2011" xfId="752"/>
    <cellStyle name="_Ung von nam 2011 vung TNB - Doan Cong tac (12-5-2010)_Bieu4HTMT" xfId="753"/>
    <cellStyle name="_Ung von nam 2011 vung TNB - Doan Cong tac (12-5-2010)_Bieu4HTMT_!1 1 bao cao giao KH ve HTCMT vung TNB   12-12-2011" xfId="754"/>
    <cellStyle name="_Ung von nam 2011 vung TNB - Doan Cong tac (12-5-2010)_Bieu4HTMT_KH TPCP vung TNB (03-1-2012)" xfId="755"/>
    <cellStyle name="_Ung von nam 2011 vung TNB - Doan Cong tac (12-5-2010)_Cong trinh co y kien LD_Dang_NN_2011-Tay nguyen-9-10" xfId="756"/>
    <cellStyle name="_Ung von nam 2011 vung TNB - Doan Cong tac (12-5-2010)_Cong trinh co y kien LD_Dang_NN_2011-Tay nguyen-9-10_!1 1 bao cao giao KH ve HTCMT vung TNB   12-12-2011" xfId="757"/>
    <cellStyle name="_Ung von nam 2011 vung TNB - Doan Cong tac (12-5-2010)_Cong trinh co y kien LD_Dang_NN_2011-Tay nguyen-9-10_Bieu4HTMT" xfId="758"/>
    <cellStyle name="_Ung von nam 2011 vung TNB - Doan Cong tac (12-5-2010)_Cong trinh co y kien LD_Dang_NN_2011-Tay nguyen-9-10_Bieu4HTMT_!1 1 bao cao giao KH ve HTCMT vung TNB   12-12-2011" xfId="759"/>
    <cellStyle name="_Ung von nam 2011 vung TNB - Doan Cong tac (12-5-2010)_Cong trinh co y kien LD_Dang_NN_2011-Tay nguyen-9-10_Bieu4HTMT_KH TPCP vung TNB (03-1-2012)" xfId="760"/>
    <cellStyle name="_Ung von nam 2011 vung TNB - Doan Cong tac (12-5-2010)_Cong trinh co y kien LD_Dang_NN_2011-Tay nguyen-9-10_KH TPCP vung TNB (03-1-2012)" xfId="761"/>
    <cellStyle name="_Ung von nam 2011 vung TNB - Doan Cong tac (12-5-2010)_KH TPCP vung TNB (03-1-2012)" xfId="762"/>
    <cellStyle name="_Ung von nam 2011 vung TNB - Doan Cong tac (12-5-2010)_TN - Ho tro khac 2011" xfId="763"/>
    <cellStyle name="_Ung von nam 2011 vung TNB - Doan Cong tac (12-5-2010)_TN - Ho tro khac 2011_!1 1 bao cao giao KH ve HTCMT vung TNB   12-12-2011" xfId="764"/>
    <cellStyle name="_Ung von nam 2011 vung TNB - Doan Cong tac (12-5-2010)_TN - Ho tro khac 2011_Bieu4HTMT" xfId="765"/>
    <cellStyle name="_Ung von nam 2011 vung TNB - Doan Cong tac (12-5-2010)_TN - Ho tro khac 2011_Bieu4HTMT_!1 1 bao cao giao KH ve HTCMT vung TNB   12-12-2011" xfId="766"/>
    <cellStyle name="_Ung von nam 2011 vung TNB - Doan Cong tac (12-5-2010)_TN - Ho tro khac 2011_Bieu4HTMT_KH TPCP vung TNB (03-1-2012)" xfId="767"/>
    <cellStyle name="_Ung von nam 2011 vung TNB - Doan Cong tac (12-5-2010)_TN - Ho tro khac 2011_KH TPCP vung TNB (03-1-2012)" xfId="768"/>
    <cellStyle name="_x005f_x0001_" xfId="769"/>
    <cellStyle name="_x005f_x0001__!1 1 bao cao giao KH ve HTCMT vung TNB   12-12-2011" xfId="770"/>
    <cellStyle name="_x005f_x0001__kien giang 2" xfId="771"/>
    <cellStyle name="_x005f_x000d__x005f_x000a_JournalTemplate=C:\COMFO\CTALK\JOURSTD.TPL_x005f_x000d__x005f_x000a_LbStateAddress=3 3 0 251 1 89 2 311_x005f_x000d__x005f_x000a_LbStateJou" xfId="772"/>
    <cellStyle name="_XDCB thang 12.2010" xfId="773"/>
    <cellStyle name="_ÿÿÿÿÿ" xfId="774"/>
    <cellStyle name="_ÿÿÿÿÿ_Bieu mau cong trinh khoi cong moi 3-4" xfId="775"/>
    <cellStyle name="_ÿÿÿÿÿ_Bieu mau cong trinh khoi cong moi 3-4_!1 1 bao cao giao KH ve HTCMT vung TNB   12-12-2011" xfId="776"/>
    <cellStyle name="_ÿÿÿÿÿ_Bieu mau cong trinh khoi cong moi 3-4_KH TPCP vung TNB (03-1-2012)" xfId="777"/>
    <cellStyle name="_ÿÿÿÿÿ_Bieu3ODA" xfId="778"/>
    <cellStyle name="_ÿÿÿÿÿ_Bieu3ODA_!1 1 bao cao giao KH ve HTCMT vung TNB   12-12-2011" xfId="779"/>
    <cellStyle name="_ÿÿÿÿÿ_Bieu3ODA_KH TPCP vung TNB (03-1-2012)" xfId="780"/>
    <cellStyle name="_ÿÿÿÿÿ_Bieu4HTMT" xfId="781"/>
    <cellStyle name="_ÿÿÿÿÿ_Bieu4HTMT_!1 1 bao cao giao KH ve HTCMT vung TNB   12-12-2011" xfId="782"/>
    <cellStyle name="_ÿÿÿÿÿ_Bieu4HTMT_KH TPCP vung TNB (03-1-2012)" xfId="783"/>
    <cellStyle name="_ÿÿÿÿÿ_kien giang 2" xfId="787"/>
    <cellStyle name="_ÿÿÿÿÿ_Kh ql62 (2010) 11-09" xfId="784"/>
    <cellStyle name="_ÿÿÿÿÿ_KH TPCP vung TNB (03-1-2012)" xfId="785"/>
    <cellStyle name="_ÿÿÿÿÿ_Khung 2012" xfId="786"/>
    <cellStyle name="~1" xfId="788"/>
    <cellStyle name="’Ê‰Ý [0.00]_laroux" xfId="789"/>
    <cellStyle name="’Ê‰Ý_laroux" xfId="790"/>
    <cellStyle name="•W?_Format" xfId="791"/>
    <cellStyle name="•W€_’·Šú‰p•¶" xfId="792"/>
    <cellStyle name="•W_¯–ì" xfId="793"/>
    <cellStyle name="W_MARINE" xfId="794"/>
    <cellStyle name="0" xfId="795"/>
    <cellStyle name="0 2" xfId="796"/>
    <cellStyle name="0,0_x000d__x000a_NA_x000d__x000a_" xfId="797"/>
    <cellStyle name="0,0_x005f_x000d__x005f_x000a_NA_x005f_x000d__x005f_x000a_" xfId="798"/>
    <cellStyle name="0.0" xfId="799"/>
    <cellStyle name="0.0 2" xfId="800"/>
    <cellStyle name="0.00" xfId="801"/>
    <cellStyle name="0.00 2" xfId="802"/>
    <cellStyle name="1" xfId="803"/>
    <cellStyle name="1_!1 1 bao cao giao KH ve HTCMT vung TNB   12-12-2011" xfId="804"/>
    <cellStyle name="1_BAO GIA NGAY 24-10-08 (co dam)" xfId="805"/>
    <cellStyle name="1_Bieu4HTMT" xfId="806"/>
    <cellStyle name="1_Book1" xfId="807"/>
    <cellStyle name="1_Book1_1" xfId="808"/>
    <cellStyle name="1_Book1_1_!1 1 bao cao giao KH ve HTCMT vung TNB   12-12-2011" xfId="809"/>
    <cellStyle name="1_Book1_1_Bieu4HTMT" xfId="810"/>
    <cellStyle name="1_Book1_1_Bieu4HTMT_!1 1 bao cao giao KH ve HTCMT vung TNB   12-12-2011" xfId="811"/>
    <cellStyle name="1_Book1_1_Bieu4HTMT_KH TPCP vung TNB (03-1-2012)" xfId="812"/>
    <cellStyle name="1_Book1_1_KH TPCP vung TNB (03-1-2012)" xfId="813"/>
    <cellStyle name="1_Cau thuy dien Ban La (Cu Anh)" xfId="814"/>
    <cellStyle name="1_Cau thuy dien Ban La (Cu Anh)_!1 1 bao cao giao KH ve HTCMT vung TNB   12-12-2011" xfId="815"/>
    <cellStyle name="1_Cau thuy dien Ban La (Cu Anh)_Bieu4HTMT" xfId="816"/>
    <cellStyle name="1_Cau thuy dien Ban La (Cu Anh)_Bieu4HTMT_!1 1 bao cao giao KH ve HTCMT vung TNB   12-12-2011" xfId="817"/>
    <cellStyle name="1_Cau thuy dien Ban La (Cu Anh)_Bieu4HTMT_KH TPCP vung TNB (03-1-2012)" xfId="818"/>
    <cellStyle name="1_Cau thuy dien Ban La (Cu Anh)_KH TPCP vung TNB (03-1-2012)" xfId="819"/>
    <cellStyle name="1_Cong trinh co y kien LD_Dang_NN_2011-Tay nguyen-9-10" xfId="820"/>
    <cellStyle name="1_Du toan 558 (Km17+508.12 - Km 22)" xfId="821"/>
    <cellStyle name="1_Du toan 558 (Km17+508.12 - Km 22)_!1 1 bao cao giao KH ve HTCMT vung TNB   12-12-2011" xfId="822"/>
    <cellStyle name="1_Du toan 558 (Km17+508.12 - Km 22)_Bieu4HTMT" xfId="823"/>
    <cellStyle name="1_Du toan 558 (Km17+508.12 - Km 22)_Bieu4HTMT_!1 1 bao cao giao KH ve HTCMT vung TNB   12-12-2011" xfId="824"/>
    <cellStyle name="1_Du toan 558 (Km17+508.12 - Km 22)_Bieu4HTMT_KH TPCP vung TNB (03-1-2012)" xfId="825"/>
    <cellStyle name="1_Du toan 558 (Km17+508.12 - Km 22)_KH TPCP vung TNB (03-1-2012)" xfId="826"/>
    <cellStyle name="1_Gia_VLQL48_duyet " xfId="827"/>
    <cellStyle name="1_Gia_VLQL48_duyet _!1 1 bao cao giao KH ve HTCMT vung TNB   12-12-2011" xfId="828"/>
    <cellStyle name="1_Gia_VLQL48_duyet _Bieu4HTMT" xfId="829"/>
    <cellStyle name="1_Gia_VLQL48_duyet _Bieu4HTMT_!1 1 bao cao giao KH ve HTCMT vung TNB   12-12-2011" xfId="830"/>
    <cellStyle name="1_Gia_VLQL48_duyet _Bieu4HTMT_KH TPCP vung TNB (03-1-2012)" xfId="831"/>
    <cellStyle name="1_Gia_VLQL48_duyet _KH TPCP vung TNB (03-1-2012)" xfId="832"/>
    <cellStyle name="1_KlQdinhduyet" xfId="836"/>
    <cellStyle name="1_KlQdinhduyet_!1 1 bao cao giao KH ve HTCMT vung TNB   12-12-2011" xfId="837"/>
    <cellStyle name="1_KlQdinhduyet_Bieu4HTMT" xfId="838"/>
    <cellStyle name="1_KlQdinhduyet_Bieu4HTMT_!1 1 bao cao giao KH ve HTCMT vung TNB   12-12-2011" xfId="839"/>
    <cellStyle name="1_KlQdinhduyet_Bieu4HTMT_KH TPCP vung TNB (03-1-2012)" xfId="840"/>
    <cellStyle name="1_KlQdinhduyet_KH TPCP vung TNB (03-1-2012)" xfId="841"/>
    <cellStyle name="1_Kh ql62 (2010) 11-09" xfId="833"/>
    <cellStyle name="1_KH TPCP vung TNB (03-1-2012)" xfId="834"/>
    <cellStyle name="1_Khung 2012" xfId="835"/>
    <cellStyle name="1_TN - Ho tro khac 2011" xfId="842"/>
    <cellStyle name="1_TRUNG PMU 5" xfId="843"/>
    <cellStyle name="1_ÿÿÿÿÿ" xfId="844"/>
    <cellStyle name="1_ÿÿÿÿÿ_Bieu tong hop nhu cau ung 2011 da chon loc -Mien nui" xfId="845"/>
    <cellStyle name="1_ÿÿÿÿÿ_Bieu tong hop nhu cau ung 2011 da chon loc -Mien nui 2" xfId="846"/>
    <cellStyle name="1_ÿÿÿÿÿ_Kh ql62 (2010) 11-09" xfId="847"/>
    <cellStyle name="1_ÿÿÿÿÿ_Khung 2012" xfId="848"/>
    <cellStyle name="15" xfId="849"/>
    <cellStyle name="18" xfId="850"/>
    <cellStyle name="¹éºÐÀ²_      " xfId="851"/>
    <cellStyle name="2" xfId="852"/>
    <cellStyle name="2_Book1" xfId="853"/>
    <cellStyle name="2_Book1_1" xfId="854"/>
    <cellStyle name="2_Book1_1_!1 1 bao cao giao KH ve HTCMT vung TNB   12-12-2011" xfId="855"/>
    <cellStyle name="2_Book1_1_Bieu4HTMT" xfId="856"/>
    <cellStyle name="2_Book1_1_Bieu4HTMT_!1 1 bao cao giao KH ve HTCMT vung TNB   12-12-2011" xfId="857"/>
    <cellStyle name="2_Book1_1_Bieu4HTMT_KH TPCP vung TNB (03-1-2012)" xfId="858"/>
    <cellStyle name="2_Book1_1_KH TPCP vung TNB (03-1-2012)" xfId="859"/>
    <cellStyle name="2_Cau thuy dien Ban La (Cu Anh)" xfId="860"/>
    <cellStyle name="2_Cau thuy dien Ban La (Cu Anh)_!1 1 bao cao giao KH ve HTCMT vung TNB   12-12-2011" xfId="861"/>
    <cellStyle name="2_Cau thuy dien Ban La (Cu Anh)_Bieu4HTMT" xfId="862"/>
    <cellStyle name="2_Cau thuy dien Ban La (Cu Anh)_Bieu4HTMT_!1 1 bao cao giao KH ve HTCMT vung TNB   12-12-2011" xfId="863"/>
    <cellStyle name="2_Cau thuy dien Ban La (Cu Anh)_Bieu4HTMT_KH TPCP vung TNB (03-1-2012)" xfId="864"/>
    <cellStyle name="2_Cau thuy dien Ban La (Cu Anh)_KH TPCP vung TNB (03-1-2012)" xfId="865"/>
    <cellStyle name="2_Du toan 558 (Km17+508.12 - Km 22)" xfId="866"/>
    <cellStyle name="2_Du toan 558 (Km17+508.12 - Km 22)_!1 1 bao cao giao KH ve HTCMT vung TNB   12-12-2011" xfId="867"/>
    <cellStyle name="2_Du toan 558 (Km17+508.12 - Km 22)_Bieu4HTMT" xfId="868"/>
    <cellStyle name="2_Du toan 558 (Km17+508.12 - Km 22)_Bieu4HTMT_!1 1 bao cao giao KH ve HTCMT vung TNB   12-12-2011" xfId="869"/>
    <cellStyle name="2_Du toan 558 (Km17+508.12 - Km 22)_Bieu4HTMT_KH TPCP vung TNB (03-1-2012)" xfId="870"/>
    <cellStyle name="2_Du toan 558 (Km17+508.12 - Km 22)_KH TPCP vung TNB (03-1-2012)" xfId="871"/>
    <cellStyle name="2_Gia_VLQL48_duyet " xfId="872"/>
    <cellStyle name="2_Gia_VLQL48_duyet _!1 1 bao cao giao KH ve HTCMT vung TNB   12-12-2011" xfId="873"/>
    <cellStyle name="2_Gia_VLQL48_duyet _Bieu4HTMT" xfId="874"/>
    <cellStyle name="2_Gia_VLQL48_duyet _Bieu4HTMT_!1 1 bao cao giao KH ve HTCMT vung TNB   12-12-2011" xfId="875"/>
    <cellStyle name="2_Gia_VLQL48_duyet _Bieu4HTMT_KH TPCP vung TNB (03-1-2012)" xfId="876"/>
    <cellStyle name="2_Gia_VLQL48_duyet _KH TPCP vung TNB (03-1-2012)" xfId="877"/>
    <cellStyle name="2_KlQdinhduyet" xfId="878"/>
    <cellStyle name="2_KlQdinhduyet_!1 1 bao cao giao KH ve HTCMT vung TNB   12-12-2011" xfId="879"/>
    <cellStyle name="2_KlQdinhduyet_Bieu4HTMT" xfId="880"/>
    <cellStyle name="2_KlQdinhduyet_Bieu4HTMT_!1 1 bao cao giao KH ve HTCMT vung TNB   12-12-2011" xfId="881"/>
    <cellStyle name="2_KlQdinhduyet_Bieu4HTMT_KH TPCP vung TNB (03-1-2012)" xfId="882"/>
    <cellStyle name="2_KlQdinhduyet_KH TPCP vung TNB (03-1-2012)" xfId="883"/>
    <cellStyle name="2_TRUNG PMU 5" xfId="884"/>
    <cellStyle name="2_ÿÿÿÿÿ" xfId="885"/>
    <cellStyle name="2_ÿÿÿÿÿ_Bieu tong hop nhu cau ung 2011 da chon loc -Mien nui" xfId="886"/>
    <cellStyle name="2_ÿÿÿÿÿ_Bieu tong hop nhu cau ung 2011 da chon loc -Mien nui 2" xfId="887"/>
    <cellStyle name="-2001" xfId="888"/>
    <cellStyle name="3" xfId="889"/>
    <cellStyle name="3_Book1" xfId="890"/>
    <cellStyle name="3_Book1_1" xfId="891"/>
    <cellStyle name="3_Book1_1_!1 1 bao cao giao KH ve HTCMT vung TNB   12-12-2011" xfId="892"/>
    <cellStyle name="3_Book1_1_Bieu4HTMT" xfId="893"/>
    <cellStyle name="3_Book1_1_Bieu4HTMT_!1 1 bao cao giao KH ve HTCMT vung TNB   12-12-2011" xfId="894"/>
    <cellStyle name="3_Book1_1_Bieu4HTMT_KH TPCP vung TNB (03-1-2012)" xfId="895"/>
    <cellStyle name="3_Book1_1_KH TPCP vung TNB (03-1-2012)" xfId="896"/>
    <cellStyle name="3_Cau thuy dien Ban La (Cu Anh)" xfId="897"/>
    <cellStyle name="3_Cau thuy dien Ban La (Cu Anh)_!1 1 bao cao giao KH ve HTCMT vung TNB   12-12-2011" xfId="898"/>
    <cellStyle name="3_Cau thuy dien Ban La (Cu Anh)_Bieu4HTMT" xfId="899"/>
    <cellStyle name="3_Cau thuy dien Ban La (Cu Anh)_Bieu4HTMT_!1 1 bao cao giao KH ve HTCMT vung TNB   12-12-2011" xfId="900"/>
    <cellStyle name="3_Cau thuy dien Ban La (Cu Anh)_Bieu4HTMT_KH TPCP vung TNB (03-1-2012)" xfId="901"/>
    <cellStyle name="3_Cau thuy dien Ban La (Cu Anh)_KH TPCP vung TNB (03-1-2012)" xfId="902"/>
    <cellStyle name="3_Du toan 558 (Km17+508.12 - Km 22)" xfId="903"/>
    <cellStyle name="3_Du toan 558 (Km17+508.12 - Km 22)_!1 1 bao cao giao KH ve HTCMT vung TNB   12-12-2011" xfId="904"/>
    <cellStyle name="3_Du toan 558 (Km17+508.12 - Km 22)_Bieu4HTMT" xfId="905"/>
    <cellStyle name="3_Du toan 558 (Km17+508.12 - Km 22)_Bieu4HTMT_!1 1 bao cao giao KH ve HTCMT vung TNB   12-12-2011" xfId="906"/>
    <cellStyle name="3_Du toan 558 (Km17+508.12 - Km 22)_Bieu4HTMT_KH TPCP vung TNB (03-1-2012)" xfId="907"/>
    <cellStyle name="3_Du toan 558 (Km17+508.12 - Km 22)_KH TPCP vung TNB (03-1-2012)" xfId="908"/>
    <cellStyle name="3_Gia_VLQL48_duyet " xfId="909"/>
    <cellStyle name="3_Gia_VLQL48_duyet _!1 1 bao cao giao KH ve HTCMT vung TNB   12-12-2011" xfId="910"/>
    <cellStyle name="3_Gia_VLQL48_duyet _Bieu4HTMT" xfId="911"/>
    <cellStyle name="3_Gia_VLQL48_duyet _Bieu4HTMT_!1 1 bao cao giao KH ve HTCMT vung TNB   12-12-2011" xfId="912"/>
    <cellStyle name="3_Gia_VLQL48_duyet _Bieu4HTMT_KH TPCP vung TNB (03-1-2012)" xfId="913"/>
    <cellStyle name="3_Gia_VLQL48_duyet _KH TPCP vung TNB (03-1-2012)" xfId="914"/>
    <cellStyle name="3_KlQdinhduyet" xfId="915"/>
    <cellStyle name="3_KlQdinhduyet_!1 1 bao cao giao KH ve HTCMT vung TNB   12-12-2011" xfId="916"/>
    <cellStyle name="3_KlQdinhduyet_Bieu4HTMT" xfId="917"/>
    <cellStyle name="3_KlQdinhduyet_Bieu4HTMT_!1 1 bao cao giao KH ve HTCMT vung TNB   12-12-2011" xfId="918"/>
    <cellStyle name="3_KlQdinhduyet_Bieu4HTMT_KH TPCP vung TNB (03-1-2012)" xfId="919"/>
    <cellStyle name="3_KlQdinhduyet_KH TPCP vung TNB (03-1-2012)" xfId="920"/>
    <cellStyle name="3_ÿÿÿÿÿ" xfId="921"/>
    <cellStyle name="4" xfId="922"/>
    <cellStyle name="4_Book1" xfId="923"/>
    <cellStyle name="4_Book1_1" xfId="924"/>
    <cellStyle name="4_Book1_1_!1 1 bao cao giao KH ve HTCMT vung TNB   12-12-2011" xfId="925"/>
    <cellStyle name="4_Book1_1_Bieu4HTMT" xfId="926"/>
    <cellStyle name="4_Book1_1_Bieu4HTMT_!1 1 bao cao giao KH ve HTCMT vung TNB   12-12-2011" xfId="927"/>
    <cellStyle name="4_Book1_1_Bieu4HTMT_KH TPCP vung TNB (03-1-2012)" xfId="928"/>
    <cellStyle name="4_Book1_1_KH TPCP vung TNB (03-1-2012)" xfId="929"/>
    <cellStyle name="4_Cau thuy dien Ban La (Cu Anh)" xfId="930"/>
    <cellStyle name="4_Cau thuy dien Ban La (Cu Anh)_!1 1 bao cao giao KH ve HTCMT vung TNB   12-12-2011" xfId="931"/>
    <cellStyle name="4_Cau thuy dien Ban La (Cu Anh)_Bieu4HTMT" xfId="932"/>
    <cellStyle name="4_Cau thuy dien Ban La (Cu Anh)_Bieu4HTMT_!1 1 bao cao giao KH ve HTCMT vung TNB   12-12-2011" xfId="933"/>
    <cellStyle name="4_Cau thuy dien Ban La (Cu Anh)_Bieu4HTMT_KH TPCP vung TNB (03-1-2012)" xfId="934"/>
    <cellStyle name="4_Cau thuy dien Ban La (Cu Anh)_KH TPCP vung TNB (03-1-2012)" xfId="935"/>
    <cellStyle name="4_Du toan 558 (Km17+508.12 - Km 22)" xfId="936"/>
    <cellStyle name="4_Du toan 558 (Km17+508.12 - Km 22)_!1 1 bao cao giao KH ve HTCMT vung TNB   12-12-2011" xfId="937"/>
    <cellStyle name="4_Du toan 558 (Km17+508.12 - Km 22)_Bieu4HTMT" xfId="938"/>
    <cellStyle name="4_Du toan 558 (Km17+508.12 - Km 22)_Bieu4HTMT_!1 1 bao cao giao KH ve HTCMT vung TNB   12-12-2011" xfId="939"/>
    <cellStyle name="4_Du toan 558 (Km17+508.12 - Km 22)_Bieu4HTMT_KH TPCP vung TNB (03-1-2012)" xfId="940"/>
    <cellStyle name="4_Du toan 558 (Km17+508.12 - Km 22)_KH TPCP vung TNB (03-1-2012)" xfId="941"/>
    <cellStyle name="4_Gia_VLQL48_duyet " xfId="942"/>
    <cellStyle name="4_Gia_VLQL48_duyet _!1 1 bao cao giao KH ve HTCMT vung TNB   12-12-2011" xfId="943"/>
    <cellStyle name="4_Gia_VLQL48_duyet _Bieu4HTMT" xfId="944"/>
    <cellStyle name="4_Gia_VLQL48_duyet _Bieu4HTMT_!1 1 bao cao giao KH ve HTCMT vung TNB   12-12-2011" xfId="945"/>
    <cellStyle name="4_Gia_VLQL48_duyet _Bieu4HTMT_KH TPCP vung TNB (03-1-2012)" xfId="946"/>
    <cellStyle name="4_Gia_VLQL48_duyet _KH TPCP vung TNB (03-1-2012)" xfId="947"/>
    <cellStyle name="4_KlQdinhduyet" xfId="948"/>
    <cellStyle name="4_KlQdinhduyet_!1 1 bao cao giao KH ve HTCMT vung TNB   12-12-2011" xfId="949"/>
    <cellStyle name="4_KlQdinhduyet_Bieu4HTMT" xfId="950"/>
    <cellStyle name="4_KlQdinhduyet_Bieu4HTMT_!1 1 bao cao giao KH ve HTCMT vung TNB   12-12-2011" xfId="951"/>
    <cellStyle name="4_KlQdinhduyet_Bieu4HTMT_KH TPCP vung TNB (03-1-2012)" xfId="952"/>
    <cellStyle name="4_KlQdinhduyet_KH TPCP vung TNB (03-1-2012)" xfId="953"/>
    <cellStyle name="4_ÿÿÿÿÿ" xfId="954"/>
    <cellStyle name="52" xfId="955"/>
    <cellStyle name="6" xfId="956"/>
    <cellStyle name="6_Cong trinh co y kien LD_Dang_NN_2011-Tay nguyen-9-10" xfId="957"/>
    <cellStyle name="6_Cong trinh co y kien LD_Dang_NN_2011-Tay nguyen-9-10_!1 1 bao cao giao KH ve HTCMT vung TNB   12-12-2011" xfId="958"/>
    <cellStyle name="6_Cong trinh co y kien LD_Dang_NN_2011-Tay nguyen-9-10_Bieu4HTMT" xfId="959"/>
    <cellStyle name="6_Cong trinh co y kien LD_Dang_NN_2011-Tay nguyen-9-10_Bieu4HTMT_!1 1 bao cao giao KH ve HTCMT vung TNB   12-12-2011" xfId="960"/>
    <cellStyle name="6_Cong trinh co y kien LD_Dang_NN_2011-Tay nguyen-9-10_Bieu4HTMT_KH TPCP vung TNB (03-1-2012)" xfId="961"/>
    <cellStyle name="6_Cong trinh co y kien LD_Dang_NN_2011-Tay nguyen-9-10_KH TPCP vung TNB (03-1-2012)" xfId="962"/>
    <cellStyle name="6_TN - Ho tro khac 2011" xfId="963"/>
    <cellStyle name="6_TN - Ho tro khac 2011_!1 1 bao cao giao KH ve HTCMT vung TNB   12-12-2011" xfId="964"/>
    <cellStyle name="6_TN - Ho tro khac 2011_Bieu4HTMT" xfId="965"/>
    <cellStyle name="6_TN - Ho tro khac 2011_Bieu4HTMT_!1 1 bao cao giao KH ve HTCMT vung TNB   12-12-2011" xfId="966"/>
    <cellStyle name="6_TN - Ho tro khac 2011_Bieu4HTMT_KH TPCP vung TNB (03-1-2012)" xfId="967"/>
    <cellStyle name="6_TN - Ho tro khac 2011_KH TPCP vung TNB (03-1-2012)" xfId="968"/>
    <cellStyle name="9" xfId="969"/>
    <cellStyle name="9_!1 1 bao cao giao KH ve HTCMT vung TNB   12-12-2011" xfId="970"/>
    <cellStyle name="9_Bieu4HTMT" xfId="971"/>
    <cellStyle name="9_Bieu4HTMT_!1 1 bao cao giao KH ve HTCMT vung TNB   12-12-2011" xfId="972"/>
    <cellStyle name="9_Bieu4HTMT_KH TPCP vung TNB (03-1-2012)" xfId="973"/>
    <cellStyle name="9_KH TPCP vung TNB (03-1-2012)" xfId="974"/>
    <cellStyle name="ÅëÈ­ [0]_      " xfId="975"/>
    <cellStyle name="AeE­ [0]_INQUIRY ¿?¾÷AßAø " xfId="976"/>
    <cellStyle name="ÅëÈ­ [0]_L601CPT" xfId="977"/>
    <cellStyle name="ÅëÈ­_      " xfId="978"/>
    <cellStyle name="AeE­_INQUIRY ¿?¾÷AßAø " xfId="979"/>
    <cellStyle name="ÅëÈ­_L601CPT" xfId="980"/>
    <cellStyle name="args.style" xfId="981"/>
    <cellStyle name="at" xfId="982"/>
    <cellStyle name="ÄÞ¸¶ [0]_      " xfId="983"/>
    <cellStyle name="AÞ¸¶ [0]_INQUIRY ¿?¾÷AßAø " xfId="984"/>
    <cellStyle name="ÄÞ¸¶ [0]_L601CPT" xfId="985"/>
    <cellStyle name="ÄÞ¸¶_      " xfId="986"/>
    <cellStyle name="AÞ¸¶_INQUIRY ¿?¾÷AßAø " xfId="987"/>
    <cellStyle name="ÄÞ¸¶_L601CPT" xfId="988"/>
    <cellStyle name="AutoFormat Options" xfId="989"/>
    <cellStyle name="Body" xfId="990"/>
    <cellStyle name="C?AØ_¿?¾÷CoE² " xfId="991"/>
    <cellStyle name="C~1" xfId="992"/>
    <cellStyle name="Ç¥ÁØ_      " xfId="993"/>
    <cellStyle name="C￥AØ_¿μ¾÷CoE² " xfId="994"/>
    <cellStyle name="Ç¥ÁØ_±¸¹Ì´ëÃ¥" xfId="995"/>
    <cellStyle name="C￥AØ_Sheet1_¿μ¾÷CoE² " xfId="996"/>
    <cellStyle name="Ç¥ÁØ_ÿÿÿÿÿÿ_4_ÃÑÇÕ°è " xfId="997"/>
    <cellStyle name="Calc Currency (0)" xfId="998"/>
    <cellStyle name="Calc Currency (2)" xfId="999"/>
    <cellStyle name="Calc Percent (0)" xfId="1000"/>
    <cellStyle name="Calc Percent (1)" xfId="1001"/>
    <cellStyle name="Calc Percent (2)" xfId="1002"/>
    <cellStyle name="Calc Units (0)" xfId="1003"/>
    <cellStyle name="Calc Units (1)" xfId="1004"/>
    <cellStyle name="Calc Units (2)" xfId="1005"/>
    <cellStyle name="category" xfId="1006"/>
    <cellStyle name="Cerrency_Sheet2_XANGDAU" xfId="1007"/>
    <cellStyle name="Comma" xfId="1" builtinId="3"/>
    <cellStyle name="Comma  - Style1" xfId="1010"/>
    <cellStyle name="Comma  - Style2" xfId="1011"/>
    <cellStyle name="Comma  - Style3" xfId="1012"/>
    <cellStyle name="Comma  - Style4" xfId="1013"/>
    <cellStyle name="Comma  - Style5" xfId="1014"/>
    <cellStyle name="Comma  - Style6" xfId="1015"/>
    <cellStyle name="Comma  - Style7" xfId="1016"/>
    <cellStyle name="Comma  - Style8" xfId="1017"/>
    <cellStyle name="Comma [0] 2" xfId="1018"/>
    <cellStyle name="Comma [0] 2 10" xfId="1019"/>
    <cellStyle name="Comma [0] 2 11" xfId="1020"/>
    <cellStyle name="Comma [0] 2 12" xfId="1021"/>
    <cellStyle name="Comma [0] 2 13" xfId="1022"/>
    <cellStyle name="Comma [0] 2 14" xfId="1023"/>
    <cellStyle name="Comma [0] 2 15" xfId="1024"/>
    <cellStyle name="Comma [0] 2 16" xfId="1025"/>
    <cellStyle name="Comma [0] 2 17" xfId="1026"/>
    <cellStyle name="Comma [0] 2 18" xfId="1027"/>
    <cellStyle name="Comma [0] 2 19" xfId="1028"/>
    <cellStyle name="Comma [0] 2 2" xfId="1029"/>
    <cellStyle name="Comma [0] 2 20" xfId="1030"/>
    <cellStyle name="Comma [0] 2 21" xfId="1031"/>
    <cellStyle name="Comma [0] 2 22" xfId="1032"/>
    <cellStyle name="Comma [0] 2 23" xfId="1033"/>
    <cellStyle name="Comma [0] 2 24" xfId="1034"/>
    <cellStyle name="Comma [0] 2 25" xfId="1035"/>
    <cellStyle name="Comma [0] 2 3" xfId="1036"/>
    <cellStyle name="Comma [0] 2 4" xfId="1037"/>
    <cellStyle name="Comma [0] 2 5" xfId="1038"/>
    <cellStyle name="Comma [0] 2 6" xfId="1039"/>
    <cellStyle name="Comma [0] 2 7" xfId="1040"/>
    <cellStyle name="Comma [0] 2 8" xfId="1041"/>
    <cellStyle name="Comma [0] 2 9" xfId="1042"/>
    <cellStyle name="Comma [0] 3" xfId="1043"/>
    <cellStyle name="Comma [0] 3 2" xfId="1044"/>
    <cellStyle name="Comma [0] 4" xfId="1045"/>
    <cellStyle name="Comma [00]" xfId="1046"/>
    <cellStyle name="Comma 10" xfId="1047"/>
    <cellStyle name="Comma 10 10" xfId="14"/>
    <cellStyle name="Comma 10 10 2" xfId="24"/>
    <cellStyle name="Comma 10 10 2 2" xfId="1048"/>
    <cellStyle name="Comma 10 2" xfId="9"/>
    <cellStyle name="Comma 10 2 2" xfId="19"/>
    <cellStyle name="Comma 10 2 3" xfId="26"/>
    <cellStyle name="Comma 11" xfId="15"/>
    <cellStyle name="Comma 11 2" xfId="1049"/>
    <cellStyle name="Comma 12" xfId="34"/>
    <cellStyle name="Comma 12 2" xfId="1050"/>
    <cellStyle name="Comma 13" xfId="1051"/>
    <cellStyle name="Comma 13 2" xfId="1052"/>
    <cellStyle name="Comma 13 2 2" xfId="1053"/>
    <cellStyle name="Comma 13 2 2 2" xfId="1054"/>
    <cellStyle name="Comma 13 2 2 3" xfId="1055"/>
    <cellStyle name="Comma 13 2 3" xfId="1056"/>
    <cellStyle name="Comma 13 2 3 2" xfId="1057"/>
    <cellStyle name="Comma 13 2 4" xfId="1058"/>
    <cellStyle name="Comma 13 3" xfId="1059"/>
    <cellStyle name="Comma 14" xfId="1060"/>
    <cellStyle name="Comma 14 2" xfId="1061"/>
    <cellStyle name="Comma 15" xfId="1062"/>
    <cellStyle name="Comma 16" xfId="1063"/>
    <cellStyle name="Comma 17" xfId="1064"/>
    <cellStyle name="Comma 18" xfId="1065"/>
    <cellStyle name="Comma 19" xfId="1066"/>
    <cellStyle name="Comma 2" xfId="1067"/>
    <cellStyle name="Comma 2 10" xfId="1068"/>
    <cellStyle name="Comma 2 11" xfId="1069"/>
    <cellStyle name="Comma 2 12" xfId="1070"/>
    <cellStyle name="Comma 2 13" xfId="1071"/>
    <cellStyle name="Comma 2 14" xfId="1072"/>
    <cellStyle name="Comma 2 15" xfId="1073"/>
    <cellStyle name="Comma 2 16" xfId="1074"/>
    <cellStyle name="Comma 2 17" xfId="1075"/>
    <cellStyle name="Comma 2 18" xfId="1076"/>
    <cellStyle name="Comma 2 19" xfId="1077"/>
    <cellStyle name="Comma 2 2" xfId="1078"/>
    <cellStyle name="Comma 2 2 10" xfId="1079"/>
    <cellStyle name="Comma 2 2 11" xfId="1080"/>
    <cellStyle name="Comma 2 2 12" xfId="1081"/>
    <cellStyle name="Comma 2 2 13" xfId="1082"/>
    <cellStyle name="Comma 2 2 14" xfId="1083"/>
    <cellStyle name="Comma 2 2 15" xfId="1084"/>
    <cellStyle name="Comma 2 2 16" xfId="1085"/>
    <cellStyle name="Comma 2 2 17" xfId="1086"/>
    <cellStyle name="Comma 2 2 18" xfId="1087"/>
    <cellStyle name="Comma 2 2 19" xfId="1088"/>
    <cellStyle name="Comma 2 2 2" xfId="1089"/>
    <cellStyle name="Comma 2 2 2 10" xfId="1090"/>
    <cellStyle name="Comma 2 2 2 11" xfId="1091"/>
    <cellStyle name="Comma 2 2 2 12" xfId="1092"/>
    <cellStyle name="Comma 2 2 2 13" xfId="1093"/>
    <cellStyle name="Comma 2 2 2 14" xfId="1094"/>
    <cellStyle name="Comma 2 2 2 15" xfId="1095"/>
    <cellStyle name="Comma 2 2 2 16" xfId="1096"/>
    <cellStyle name="Comma 2 2 2 17" xfId="1097"/>
    <cellStyle name="Comma 2 2 2 18" xfId="1098"/>
    <cellStyle name="Comma 2 2 2 19" xfId="1099"/>
    <cellStyle name="Comma 2 2 2 2" xfId="1100"/>
    <cellStyle name="Comma 2 2 2 20" xfId="1101"/>
    <cellStyle name="Comma 2 2 2 21" xfId="1102"/>
    <cellStyle name="Comma 2 2 2 22" xfId="1103"/>
    <cellStyle name="Comma 2 2 2 23" xfId="1104"/>
    <cellStyle name="Comma 2 2 2 3" xfId="1105"/>
    <cellStyle name="Comma 2 2 2 4" xfId="1106"/>
    <cellStyle name="Comma 2 2 2 5" xfId="1107"/>
    <cellStyle name="Comma 2 2 2 6" xfId="1108"/>
    <cellStyle name="Comma 2 2 2 7" xfId="1109"/>
    <cellStyle name="Comma 2 2 2 8" xfId="1110"/>
    <cellStyle name="Comma 2 2 2 9" xfId="1111"/>
    <cellStyle name="Comma 2 2 20" xfId="1112"/>
    <cellStyle name="Comma 2 2 21" xfId="1113"/>
    <cellStyle name="Comma 2 2 22" xfId="1114"/>
    <cellStyle name="Comma 2 2 23" xfId="1115"/>
    <cellStyle name="Comma 2 2 24" xfId="1116"/>
    <cellStyle name="Comma 2 2 3" xfId="1117"/>
    <cellStyle name="Comma 2 2 4" xfId="1118"/>
    <cellStyle name="Comma 2 2 5" xfId="1119"/>
    <cellStyle name="Comma 2 2 6" xfId="1120"/>
    <cellStyle name="Comma 2 2 7" xfId="1121"/>
    <cellStyle name="Comma 2 2 8" xfId="1122"/>
    <cellStyle name="Comma 2 2 9" xfId="1123"/>
    <cellStyle name="Comma 2 20" xfId="1124"/>
    <cellStyle name="Comma 2 21" xfId="1125"/>
    <cellStyle name="Comma 2 22" xfId="1126"/>
    <cellStyle name="Comma 2 23" xfId="1127"/>
    <cellStyle name="Comma 2 24" xfId="1128"/>
    <cellStyle name="Comma 2 25" xfId="1129"/>
    <cellStyle name="Comma 2 3" xfId="1130"/>
    <cellStyle name="Comma 2 3 2" xfId="1131"/>
    <cellStyle name="Comma 2 4" xfId="1132"/>
    <cellStyle name="Comma 2 5" xfId="1133"/>
    <cellStyle name="Comma 2 6" xfId="1134"/>
    <cellStyle name="Comma 2 7" xfId="1135"/>
    <cellStyle name="Comma 2 8" xfId="1136"/>
    <cellStyle name="Comma 2 9" xfId="1137"/>
    <cellStyle name="Comma 2_B7HTMT KH 2" xfId="1138"/>
    <cellStyle name="Comma 20" xfId="1139"/>
    <cellStyle name="Comma 21" xfId="1140"/>
    <cellStyle name="Comma 22" xfId="1141"/>
    <cellStyle name="Comma 23" xfId="1142"/>
    <cellStyle name="Comma 24" xfId="1143"/>
    <cellStyle name="Comma 25" xfId="1144"/>
    <cellStyle name="Comma 26" xfId="1145"/>
    <cellStyle name="Comma 27" xfId="1146"/>
    <cellStyle name="Comma 28" xfId="1147"/>
    <cellStyle name="Comma 3" xfId="1148"/>
    <cellStyle name="Comma 3 2" xfId="1149"/>
    <cellStyle name="Comma 3 2 2" xfId="1150"/>
    <cellStyle name="Comma 3 2 2 2" xfId="1151"/>
    <cellStyle name="Comma 3 2 3" xfId="1152"/>
    <cellStyle name="Comma 3 2 3 2" xfId="1153"/>
    <cellStyle name="Comma 3 3" xfId="1154"/>
    <cellStyle name="Comma 3 4" xfId="1155"/>
    <cellStyle name="Comma 3 5" xfId="1156"/>
    <cellStyle name="Comma 35" xfId="1157"/>
    <cellStyle name="Comma 35 5 3 3" xfId="1158"/>
    <cellStyle name="Comma 35 7" xfId="1159"/>
    <cellStyle name="Comma 4" xfId="1160"/>
    <cellStyle name="Comma 4 2" xfId="1161"/>
    <cellStyle name="Comma 4 2 2" xfId="1162"/>
    <cellStyle name="Comma 4 3" xfId="1163"/>
    <cellStyle name="Comma 4 3 2" xfId="1164"/>
    <cellStyle name="Comma 4 4" xfId="1165"/>
    <cellStyle name="Comma 4 4 2" xfId="1166"/>
    <cellStyle name="Comma 4 4 3" xfId="1167"/>
    <cellStyle name="Comma 4_THEO DOI THUC HIEN (GỐC 1)" xfId="1168"/>
    <cellStyle name="Comma 5" xfId="1169"/>
    <cellStyle name="Comma 5 2" xfId="1170"/>
    <cellStyle name="Comma 5 2 2" xfId="1171"/>
    <cellStyle name="Comma 5 3" xfId="1172"/>
    <cellStyle name="Comma 5 4" xfId="1173"/>
    <cellStyle name="Comma 5 5" xfId="1174"/>
    <cellStyle name="Comma 6" xfId="1175"/>
    <cellStyle name="Comma 6 2" xfId="1176"/>
    <cellStyle name="Comma 6 2 2" xfId="1177"/>
    <cellStyle name="Comma 7" xfId="1178"/>
    <cellStyle name="Comma 8" xfId="1179"/>
    <cellStyle name="Comma 8 2" xfId="31"/>
    <cellStyle name="Comma 9" xfId="1180"/>
    <cellStyle name="Comma 9 2" xfId="1181"/>
    <cellStyle name="Comma 9 2 2" xfId="1182"/>
    <cellStyle name="Comma 9 3" xfId="1183"/>
    <cellStyle name="Comma 9 4" xfId="1184"/>
    <cellStyle name="comma zerodec" xfId="1185"/>
    <cellStyle name="Comma_Nợ XDCB đến 31-1-2018" xfId="7"/>
    <cellStyle name="Comma0" xfId="1186"/>
    <cellStyle name="Comma0 2" xfId="1187"/>
    <cellStyle name="cong" xfId="1188"/>
    <cellStyle name="Copied" xfId="1189"/>
    <cellStyle name="Co聭ma_Sheet1" xfId="1190"/>
    <cellStyle name="Cࡵrrency_Sheet1_PRODUCTĠ" xfId="1191"/>
    <cellStyle name="Curråncy [0]_FCST_RESULTS" xfId="1192"/>
    <cellStyle name="Currency [0]ßmud plant bolted_RESULTS" xfId="1193"/>
    <cellStyle name="Currency [00]" xfId="1194"/>
    <cellStyle name="Currency 2" xfId="1195"/>
    <cellStyle name="Currency![0]_FCSt (2)" xfId="1196"/>
    <cellStyle name="Currency0" xfId="1197"/>
    <cellStyle name="Currency0 2" xfId="1198"/>
    <cellStyle name="Currency1" xfId="1199"/>
    <cellStyle name="Currency1 2" xfId="1200"/>
    <cellStyle name="Chi phÝ kh¸c_Book1" xfId="1008"/>
    <cellStyle name="CHUONG" xfId="1009"/>
    <cellStyle name="D1" xfId="1201"/>
    <cellStyle name="Date" xfId="1202"/>
    <cellStyle name="Date 2" xfId="1203"/>
    <cellStyle name="Date Short" xfId="1204"/>
    <cellStyle name="Date_Book1" xfId="1205"/>
    <cellStyle name="DAUDE" xfId="1206"/>
    <cellStyle name="Dezimal [0]_35ERI8T2gbIEMixb4v26icuOo" xfId="1207"/>
    <cellStyle name="Dezimal_35ERI8T2gbIEMixb4v26icuOo" xfId="1208"/>
    <cellStyle name="Dg" xfId="1209"/>
    <cellStyle name="Dgia" xfId="1210"/>
    <cellStyle name="Dgia 2" xfId="1211"/>
    <cellStyle name="Dollar (zero dec)" xfId="1212"/>
    <cellStyle name="Dollar (zero dec) 2" xfId="1213"/>
    <cellStyle name="Don gia" xfId="1214"/>
    <cellStyle name="Dziesi?tny [0]_Invoices2001Slovakia" xfId="1215"/>
    <cellStyle name="Dziesi?tny_Invoices2001Slovakia" xfId="1216"/>
    <cellStyle name="Dziesietny [0]_Invoices2001Slovakia" xfId="1217"/>
    <cellStyle name="Dziesiętny [0]_Invoices2001Slovakia" xfId="1218"/>
    <cellStyle name="Dziesietny [0]_Invoices2001Slovakia_01_Nha so 1_Dien" xfId="1219"/>
    <cellStyle name="Dziesiętny [0]_Invoices2001Slovakia_01_Nha so 1_Dien" xfId="1220"/>
    <cellStyle name="Dziesietny [0]_Invoices2001Slovakia_10_Nha so 10_Dien1" xfId="1221"/>
    <cellStyle name="Dziesiętny [0]_Invoices2001Slovakia_10_Nha so 10_Dien1" xfId="1222"/>
    <cellStyle name="Dziesietny [0]_Invoices2001Slovakia_Book1" xfId="1223"/>
    <cellStyle name="Dziesiętny [0]_Invoices2001Slovakia_Book1" xfId="1224"/>
    <cellStyle name="Dziesietny [0]_Invoices2001Slovakia_Book1_1" xfId="1225"/>
    <cellStyle name="Dziesiętny [0]_Invoices2001Slovakia_Book1_1" xfId="1226"/>
    <cellStyle name="Dziesietny [0]_Invoices2001Slovakia_Book1_1_Book1" xfId="1227"/>
    <cellStyle name="Dziesiętny [0]_Invoices2001Slovakia_Book1_1_Book1" xfId="1228"/>
    <cellStyle name="Dziesietny [0]_Invoices2001Slovakia_Book1_2" xfId="1229"/>
    <cellStyle name="Dziesiętny [0]_Invoices2001Slovakia_Book1_2" xfId="1230"/>
    <cellStyle name="Dziesietny [0]_Invoices2001Slovakia_Book1_Nhu cau von ung truoc 2011 Tha h Hoa + Nge An gui TW" xfId="1231"/>
    <cellStyle name="Dziesiętny [0]_Invoices2001Slovakia_Book1_Nhu cau von ung truoc 2011 Tha h Hoa + Nge An gui TW" xfId="1232"/>
    <cellStyle name="Dziesietny [0]_Invoices2001Slovakia_Book1_Tong hop Cac tuyen(9-1-06)" xfId="1233"/>
    <cellStyle name="Dziesiętny [0]_Invoices2001Slovakia_Book1_Tong hop Cac tuyen(9-1-06)" xfId="1234"/>
    <cellStyle name="Dziesietny [0]_Invoices2001Slovakia_Book1_ung truoc 2011 NSTW Thanh Hoa + Nge An gui Thu 12-5" xfId="1235"/>
    <cellStyle name="Dziesiętny [0]_Invoices2001Slovakia_Book1_ung truoc 2011 NSTW Thanh Hoa + Nge An gui Thu 12-5" xfId="1236"/>
    <cellStyle name="Dziesietny [0]_Invoices2001Slovakia_d-uong+TDT" xfId="1237"/>
    <cellStyle name="Dziesiętny [0]_Invoices2001Slovakia_Nhµ ®Ó xe" xfId="1238"/>
    <cellStyle name="Dziesietny_Invoices2001Slovakia" xfId="1239"/>
    <cellStyle name="Dziesiętny_Invoices2001Slovakia" xfId="1240"/>
    <cellStyle name="Dziesietny_Invoices2001Slovakia_01_Nha so 1_Dien" xfId="1241"/>
    <cellStyle name="Dziesiętny_Invoices2001Slovakia_01_Nha so 1_Dien" xfId="1242"/>
    <cellStyle name="Dziesietny_Invoices2001Slovakia_10_Nha so 10_Dien1" xfId="1243"/>
    <cellStyle name="Dziesiętny_Invoices2001Slovakia_10_Nha so 10_Dien1" xfId="1244"/>
    <cellStyle name="Dziesietny_Invoices2001Slovakia_Book1" xfId="1245"/>
    <cellStyle name="Dziesiętny_Invoices2001Slovakia_Book1" xfId="1246"/>
    <cellStyle name="Dziesietny_Invoices2001Slovakia_Book1_1" xfId="1247"/>
    <cellStyle name="Dziesiętny_Invoices2001Slovakia_Book1_1" xfId="1248"/>
    <cellStyle name="Dziesietny_Invoices2001Slovakia_Book1_1_Book1" xfId="1249"/>
    <cellStyle name="Dziesiętny_Invoices2001Slovakia_Book1_1_Book1" xfId="1250"/>
    <cellStyle name="Dziesietny_Invoices2001Slovakia_Book1_2" xfId="1251"/>
    <cellStyle name="Dziesiętny_Invoices2001Slovakia_Book1_2" xfId="1252"/>
    <cellStyle name="Dziesietny_Invoices2001Slovakia_Book1_Nhu cau von ung truoc 2011 Tha h Hoa + Nge An gui TW" xfId="1253"/>
    <cellStyle name="Dziesiętny_Invoices2001Slovakia_Book1_Nhu cau von ung truoc 2011 Tha h Hoa + Nge An gui TW" xfId="1254"/>
    <cellStyle name="Dziesietny_Invoices2001Slovakia_Book1_Tong hop Cac tuyen(9-1-06)" xfId="1255"/>
    <cellStyle name="Dziesiętny_Invoices2001Slovakia_Book1_Tong hop Cac tuyen(9-1-06)" xfId="1256"/>
    <cellStyle name="Dziesietny_Invoices2001Slovakia_Book1_ung truoc 2011 NSTW Thanh Hoa + Nge An gui Thu 12-5" xfId="1257"/>
    <cellStyle name="Dziesiętny_Invoices2001Slovakia_Book1_ung truoc 2011 NSTW Thanh Hoa + Nge An gui Thu 12-5" xfId="1258"/>
    <cellStyle name="Dziesietny_Invoices2001Slovakia_d-uong+TDT" xfId="1259"/>
    <cellStyle name="Dziesiętny_Invoices2001Slovakia_Nhµ ®Ó xe" xfId="1260"/>
    <cellStyle name="e" xfId="1261"/>
    <cellStyle name="Enter Currency (0)" xfId="1262"/>
    <cellStyle name="Enter Currency (2)" xfId="1263"/>
    <cellStyle name="Enter Units (0)" xfId="1264"/>
    <cellStyle name="Enter Units (1)" xfId="1265"/>
    <cellStyle name="Enter Units (2)" xfId="1266"/>
    <cellStyle name="Entered" xfId="1267"/>
    <cellStyle name="Euro" xfId="1268"/>
    <cellStyle name="f" xfId="1269"/>
    <cellStyle name="f_Danhmuc_Quyhoach2009" xfId="1270"/>
    <cellStyle name="f_Danhmuc_Quyhoach2009 2" xfId="1271"/>
    <cellStyle name="f_Danhmuc_Quyhoach2009 2 2" xfId="1272"/>
    <cellStyle name="Fixed" xfId="1273"/>
    <cellStyle name="Fixed 2" xfId="1274"/>
    <cellStyle name="Grey" xfId="1276"/>
    <cellStyle name="Group" xfId="1277"/>
    <cellStyle name="gia" xfId="1275"/>
    <cellStyle name="H" xfId="1278"/>
    <cellStyle name="ha" xfId="1279"/>
    <cellStyle name="HAI" xfId="1280"/>
    <cellStyle name="Head 1" xfId="1281"/>
    <cellStyle name="HEADER" xfId="1282"/>
    <cellStyle name="Header1" xfId="1283"/>
    <cellStyle name="Header1 2" xfId="1284"/>
    <cellStyle name="Header2" xfId="1285"/>
    <cellStyle name="Header2 2" xfId="1286"/>
    <cellStyle name="Heading1" xfId="1287"/>
    <cellStyle name="Heading2" xfId="1288"/>
    <cellStyle name="HEADINGS" xfId="1289"/>
    <cellStyle name="HEADINGSTOP" xfId="1290"/>
    <cellStyle name="headoption" xfId="1291"/>
    <cellStyle name="headoption 2" xfId="1292"/>
    <cellStyle name="Hoa-Scholl" xfId="1293"/>
    <cellStyle name="Hoa-Scholl 2" xfId="1294"/>
    <cellStyle name="HUY" xfId="1295"/>
    <cellStyle name="Hyperlink_Nhu%20cau%20KH%202010%20%28ODA%29(1) 2" xfId="2377"/>
    <cellStyle name="i phÝ kh¸c_B¶ng 2" xfId="1296"/>
    <cellStyle name="I.3" xfId="1297"/>
    <cellStyle name="i·0" xfId="1298"/>
    <cellStyle name="ï-¾È»ê_BiÓu TB" xfId="1299"/>
    <cellStyle name="Input [yellow]" xfId="1300"/>
    <cellStyle name="Input [yellow] 2" xfId="1301"/>
    <cellStyle name="k_TONG HOP KINH PHI" xfId="1302"/>
    <cellStyle name="k_TONG HOP KINH PHI_!1 1 bao cao giao KH ve HTCMT vung TNB   12-12-2011" xfId="1303"/>
    <cellStyle name="k_TONG HOP KINH PHI_Bieu4HTMT" xfId="1304"/>
    <cellStyle name="k_TONG HOP KINH PHI_Bieu4HTMT_!1 1 bao cao giao KH ve HTCMT vung TNB   12-12-2011" xfId="1305"/>
    <cellStyle name="k_TONG HOP KINH PHI_Bieu4HTMT_KH TPCP vung TNB (03-1-2012)" xfId="1306"/>
    <cellStyle name="k_TONG HOP KINH PHI_KH TPCP vung TNB (03-1-2012)" xfId="1307"/>
    <cellStyle name="k_ÿÿÿÿÿ" xfId="1308"/>
    <cellStyle name="k_ÿÿÿÿÿ_!1 1 bao cao giao KH ve HTCMT vung TNB   12-12-2011" xfId="1309"/>
    <cellStyle name="k_ÿÿÿÿÿ_1" xfId="1310"/>
    <cellStyle name="k_ÿÿÿÿÿ_2" xfId="1311"/>
    <cellStyle name="k_ÿÿÿÿÿ_2_!1 1 bao cao giao KH ve HTCMT vung TNB   12-12-2011" xfId="1312"/>
    <cellStyle name="k_ÿÿÿÿÿ_2_Bieu4HTMT" xfId="1313"/>
    <cellStyle name="k_ÿÿÿÿÿ_2_Bieu4HTMT_!1 1 bao cao giao KH ve HTCMT vung TNB   12-12-2011" xfId="1314"/>
    <cellStyle name="k_ÿÿÿÿÿ_2_Bieu4HTMT_KH TPCP vung TNB (03-1-2012)" xfId="1315"/>
    <cellStyle name="k_ÿÿÿÿÿ_2_KH TPCP vung TNB (03-1-2012)" xfId="1316"/>
    <cellStyle name="k_ÿÿÿÿÿ_Bieu4HTMT" xfId="1317"/>
    <cellStyle name="k_ÿÿÿÿÿ_Bieu4HTMT_!1 1 bao cao giao KH ve HTCMT vung TNB   12-12-2011" xfId="1318"/>
    <cellStyle name="k_ÿÿÿÿÿ_Bieu4HTMT_KH TPCP vung TNB (03-1-2012)" xfId="1319"/>
    <cellStyle name="k_ÿÿÿÿÿ_KH TPCP vung TNB (03-1-2012)" xfId="1320"/>
    <cellStyle name="kh¸c_Bang Chi tieu" xfId="1321"/>
    <cellStyle name="khanh" xfId="1322"/>
    <cellStyle name="khung" xfId="1323"/>
    <cellStyle name="Ledger 17 x 11 in" xfId="29"/>
    <cellStyle name="Ledger 17 x 11 in 2" xfId="30"/>
    <cellStyle name="Ledger 17 x 11 in 3" xfId="1324"/>
    <cellStyle name="Ledger 17 x 11 in 4" xfId="1325"/>
    <cellStyle name="Ledger 17 x 11 in_Báo cáo công nợ đến 15-9-2015" xfId="12"/>
    <cellStyle name="Ledger 17 x 11 in_Báo cáo công nợ đến 15-9-2015 2" xfId="13"/>
    <cellStyle name="Ledger 17 x 11 in_Báo cáo công nợ đến 15-9-2015_08.5.18 Phu luc bieu bao cao 6 thang dau nam hop HDND tinh" xfId="16"/>
    <cellStyle name="Ledger 17 x 11 in_Báo cáo công nợ đến 15-9-2015_08.5.18 Phu luc bieu bao cao 6 thang dau nam hop HDND tinh 2" xfId="28"/>
    <cellStyle name="Ledger 17 x 11 in_Cong no theo CV 20-huyen Nghi Xuan" xfId="4"/>
    <cellStyle name="Ledger 17 x 11 in_Tình hình đầu tư XD 8 tháng 2016" xfId="11"/>
    <cellStyle name="Ledger 17 x 11 in_Tình hình đầu tư XD 8 tháng 2016_08.5.18 Phu luc bieu bao cao 6 thang dau nam hop HDND tinh" xfId="21"/>
    <cellStyle name="left" xfId="1326"/>
    <cellStyle name="Line" xfId="1327"/>
    <cellStyle name="Link Currency (0)" xfId="1328"/>
    <cellStyle name="Link Currency (2)" xfId="1329"/>
    <cellStyle name="Link Units (0)" xfId="1330"/>
    <cellStyle name="Link Units (1)" xfId="1331"/>
    <cellStyle name="Link Units (2)" xfId="1332"/>
    <cellStyle name="Loai CBDT" xfId="1333"/>
    <cellStyle name="Loai CT" xfId="1334"/>
    <cellStyle name="Loai GD" xfId="1335"/>
    <cellStyle name="MAU" xfId="1336"/>
    <cellStyle name="MAU 2" xfId="1337"/>
    <cellStyle name="Millares [0]_Well Timing" xfId="1338"/>
    <cellStyle name="Millares_Well Timing" xfId="1339"/>
    <cellStyle name="Milliers [0]_      " xfId="1340"/>
    <cellStyle name="Milliers_      " xfId="1341"/>
    <cellStyle name="Model" xfId="1342"/>
    <cellStyle name="moi" xfId="1343"/>
    <cellStyle name="moi 2" xfId="1344"/>
    <cellStyle name="Moneda [0]_Well Timing" xfId="1345"/>
    <cellStyle name="Moneda_Well Timing" xfId="1346"/>
    <cellStyle name="Monétaire [0]_      " xfId="1347"/>
    <cellStyle name="Monétaire_      " xfId="1348"/>
    <cellStyle name="n" xfId="1349"/>
    <cellStyle name="New Times Roman" xfId="1350"/>
    <cellStyle name="no dec" xfId="1352"/>
    <cellStyle name="ÑONVÒ" xfId="1353"/>
    <cellStyle name="ÑONVÒ 2" xfId="1354"/>
    <cellStyle name="Normal" xfId="0" builtinId="0"/>
    <cellStyle name="Normal - Style1" xfId="1355"/>
    <cellStyle name="Normal - Style1 3" xfId="2382"/>
    <cellStyle name="Normal - 유형1" xfId="1356"/>
    <cellStyle name="Normal 10" xfId="1357"/>
    <cellStyle name="Normal 10 2" xfId="36"/>
    <cellStyle name="Normal 10 7" xfId="3"/>
    <cellStyle name="Normal 10 7 2" xfId="2376"/>
    <cellStyle name="Normal 10 7 3" xfId="2383"/>
    <cellStyle name="Normal 10 7 4" xfId="2381"/>
    <cellStyle name="Normal 10 7 5" xfId="2384"/>
    <cellStyle name="Normal 11" xfId="1358"/>
    <cellStyle name="Normal 11 2" xfId="1359"/>
    <cellStyle name="Normal 11 2 2" xfId="2379"/>
    <cellStyle name="Normal 11 3" xfId="2378"/>
    <cellStyle name="Normal 12" xfId="1360"/>
    <cellStyle name="Normal 13" xfId="1361"/>
    <cellStyle name="Normal 14" xfId="1362"/>
    <cellStyle name="Normal 14 2" xfId="1363"/>
    <cellStyle name="Normal 15" xfId="1364"/>
    <cellStyle name="Normal 16" xfId="1365"/>
    <cellStyle name="Normal 17" xfId="1366"/>
    <cellStyle name="Normal 18" xfId="1367"/>
    <cellStyle name="Normal 18 2" xfId="1368"/>
    <cellStyle name="Normal 19" xfId="33"/>
    <cellStyle name="Normal 2" xfId="35"/>
    <cellStyle name="Normal 2 10" xfId="1369"/>
    <cellStyle name="Normal 2 11" xfId="1370"/>
    <cellStyle name="Normal 2 12" xfId="1371"/>
    <cellStyle name="Normal 2 13" xfId="1372"/>
    <cellStyle name="Normal 2 14" xfId="1373"/>
    <cellStyle name="Normal 2 14 2" xfId="1374"/>
    <cellStyle name="Normal 2 15" xfId="1375"/>
    <cellStyle name="Normal 2 16" xfId="1376"/>
    <cellStyle name="Normal 2 17" xfId="1377"/>
    <cellStyle name="Normal 2 18" xfId="1378"/>
    <cellStyle name="Normal 2 19" xfId="1379"/>
    <cellStyle name="Normal 2 2" xfId="1380"/>
    <cellStyle name="Normal 2 2 2" xfId="32"/>
    <cellStyle name="Normal 2 2 2 2" xfId="1381"/>
    <cellStyle name="Normal 2 2 33 4" xfId="1382"/>
    <cellStyle name="Normal 2 2 4" xfId="1383"/>
    <cellStyle name="Normal 2 2 4 2" xfId="1384"/>
    <cellStyle name="Normal 2 2_Bieu giao TTg" xfId="1385"/>
    <cellStyle name="Normal 2 20" xfId="1386"/>
    <cellStyle name="Normal 2 21" xfId="1387"/>
    <cellStyle name="Normal 2 22" xfId="1388"/>
    <cellStyle name="Normal 2 23" xfId="1389"/>
    <cellStyle name="Normal 2 24" xfId="1390"/>
    <cellStyle name="Normal 2 25" xfId="1391"/>
    <cellStyle name="Normal 2 3" xfId="1392"/>
    <cellStyle name="Normal 2 3 2" xfId="1393"/>
    <cellStyle name="Normal 2 3_Bieu 2 TH nganh, linh vuc" xfId="1394"/>
    <cellStyle name="Normal 2 32" xfId="1395"/>
    <cellStyle name="Normal 2 4" xfId="1396"/>
    <cellStyle name="Normal 2 4 2" xfId="1397"/>
    <cellStyle name="Normal 2 4 3" xfId="1398"/>
    <cellStyle name="Normal 2 4_TT UB von ung NSTW KH 2015" xfId="1399"/>
    <cellStyle name="Normal 2 5" xfId="1400"/>
    <cellStyle name="Normal 2 6" xfId="1401"/>
    <cellStyle name="Normal 2 7" xfId="1402"/>
    <cellStyle name="Normal 2 8" xfId="1403"/>
    <cellStyle name="Normal 2 9" xfId="1404"/>
    <cellStyle name="Normal 2_08.5.18 Phu luc bieu bao cao 6 thang dau nam hop HDND tinh" xfId="1405"/>
    <cellStyle name="Normal 2_08.5.18 Phu luc bieu bao cao 6 thang dau nam hop HDND tinh 2" xfId="8"/>
    <cellStyle name="Normal 20" xfId="20"/>
    <cellStyle name="Normal 20 2" xfId="25"/>
    <cellStyle name="Normal 21" xfId="1406"/>
    <cellStyle name="Normal 22" xfId="1407"/>
    <cellStyle name="Normal 23" xfId="1408"/>
    <cellStyle name="Normal 24" xfId="1409"/>
    <cellStyle name="Normal 25" xfId="1410"/>
    <cellStyle name="Normal 25 2" xfId="1411"/>
    <cellStyle name="Normal 26" xfId="1412"/>
    <cellStyle name="Normal 27" xfId="1413"/>
    <cellStyle name="Normal 28" xfId="1414"/>
    <cellStyle name="Normal 29" xfId="1415"/>
    <cellStyle name="Normal 3" xfId="1416"/>
    <cellStyle name="Normal 3 2" xfId="1417"/>
    <cellStyle name="Normal 3 2 2" xfId="1418"/>
    <cellStyle name="Normal 3 2 2 2" xfId="1419"/>
    <cellStyle name="Normal 3 2 3" xfId="1420"/>
    <cellStyle name="Normal 3 2 3 2" xfId="1421"/>
    <cellStyle name="Normal 3 2 4" xfId="1422"/>
    <cellStyle name="Normal 3 3" xfId="1423"/>
    <cellStyle name="Normal 3 4" xfId="1424"/>
    <cellStyle name="Normal 3 8" xfId="1425"/>
    <cellStyle name="Normal 3_Bieu TH TPCP Vung TNB ngay 4-1-2012" xfId="1426"/>
    <cellStyle name="Normal 30" xfId="1427"/>
    <cellStyle name="Normal 31" xfId="1428"/>
    <cellStyle name="Normal 31 2 3 2" xfId="1429"/>
    <cellStyle name="Normal 31 2 3 2 2" xfId="1430"/>
    <cellStyle name="Normal 31 2 3 3 3" xfId="1431"/>
    <cellStyle name="Normal 31 7" xfId="1432"/>
    <cellStyle name="Normal 32" xfId="27"/>
    <cellStyle name="Normal 33" xfId="6"/>
    <cellStyle name="Normal 4" xfId="23"/>
    <cellStyle name="Normal 4 2" xfId="1433"/>
    <cellStyle name="Normal 4 3" xfId="1434"/>
    <cellStyle name="Normal 4 4" xfId="1435"/>
    <cellStyle name="Normal 4_Bang bieu" xfId="1436"/>
    <cellStyle name="Normal 5" xfId="1437"/>
    <cellStyle name="Normal 5 2" xfId="1438"/>
    <cellStyle name="Normal 5_Bao cao chi tiet NSDP thang 13-2010 (KH+TC)" xfId="1439"/>
    <cellStyle name="Normal 6" xfId="38"/>
    <cellStyle name="Normal 6 2" xfId="1440"/>
    <cellStyle name="Normal 6_TPCP trinh UBND ngay 27-12" xfId="1441"/>
    <cellStyle name="Normal 7" xfId="1442"/>
    <cellStyle name="Normal 7 2" xfId="1443"/>
    <cellStyle name="Normal 7 3" xfId="1444"/>
    <cellStyle name="Normal 7_!1 1 bao cao giao KH ve HTCMT vung TNB   12-12-2011" xfId="1445"/>
    <cellStyle name="Normal 8" xfId="1446"/>
    <cellStyle name="Normal 8 2" xfId="1447"/>
    <cellStyle name="Normal 8 2 2" xfId="1448"/>
    <cellStyle name="Normal 8_Bieu 2 TH nganh, linh vuc" xfId="1449"/>
    <cellStyle name="Normal 9" xfId="1450"/>
    <cellStyle name="Normal 9 2" xfId="1451"/>
    <cellStyle name="Normal 9 3" xfId="1452"/>
    <cellStyle name="Normal 9_Bieu 2 TH nganh, linh vuc" xfId="1453"/>
    <cellStyle name="Normal 94" xfId="2380"/>
    <cellStyle name="Normal_Bieu mau (CV ) 2 2" xfId="2"/>
    <cellStyle name="Normal_H÷u KT" xfId="37"/>
    <cellStyle name="Normal_Nợ XDCB đến 31-1-2018" xfId="22"/>
    <cellStyle name="Normal_Nợ XDCB đến 31-1-2018_08.5.18 Phu luc bieu bao cao 6 thang dau nam hop HDND tinh" xfId="18"/>
    <cellStyle name="Normal_Rà soát DAĐTXDCB" xfId="10"/>
    <cellStyle name="Normal_Rà soát DAĐTXDCB_08.5.18 Phu luc bieu bao cao 6 thang dau nam hop HDND tinh" xfId="17"/>
    <cellStyle name="Normal_Sheet1" xfId="5"/>
    <cellStyle name="Normal1" xfId="1454"/>
    <cellStyle name="Normal8" xfId="1455"/>
    <cellStyle name="Normalny_Cennik obowiazuje od 06-08-2001 r (1)" xfId="1456"/>
    <cellStyle name="NWM" xfId="1457"/>
    <cellStyle name="nga" xfId="1351"/>
    <cellStyle name="Ò_x000d_Normal_123569" xfId="1458"/>
    <cellStyle name="Ò_x005f_x000d_Normal_123569" xfId="1459"/>
    <cellStyle name="Œ…‹æØ‚è [0.00]_laroux" xfId="1460"/>
    <cellStyle name="Œ…‹æØ‚è_laroux" xfId="1461"/>
    <cellStyle name="oft Excel]_x000d__x000a_Comment=open=/f ‚ðw’è‚·‚é‚ÆAƒ†[ƒU[’è‹`ŠÖ”‚ðŠÖ”“\‚è•t‚¯‚Ìˆê——‚É“o˜^‚·‚é‚±‚Æ‚ª‚Å‚«‚Ü‚·B_x000d__x000a_Maximized" xfId="1462"/>
    <cellStyle name="oft Excel]_x000d__x000a_Comment=open=/f ‚ðŽw’è‚·‚é‚ÆAƒ†[ƒU[’è‹`ŠÖ”‚ðŠÖ”“\‚è•t‚¯‚Ìˆê——‚É“o˜^‚·‚é‚±‚Æ‚ª‚Å‚«‚Ü‚·B_x000d__x000a_Maximized" xfId="1463"/>
    <cellStyle name="oft Excel]_x000d__x000a_Comment=The open=/f lines load custom functions into the Paste Function list._x000d__x000a_Maximized=2_x000d__x000a_Basics=1_x000d__x000a_A" xfId="1464"/>
    <cellStyle name="oft Excel]_x000d__x000a_Comment=The open=/f lines load custom functions into the Paste Function list._x000d__x000a_Maximized=3_x000d__x000a_Basics=1_x000d__x000a_A" xfId="1465"/>
    <cellStyle name="oft Excel]_x005f_x000d__x005f_x000a_Comment=open=/f ‚ðw’è‚·‚é‚ÆAƒ†[ƒU[’è‹`ŠÖ”‚ðŠÖ”“\‚è•t‚¯‚Ìˆê——‚É“o˜^‚·‚é‚±‚Æ‚ª‚Å‚«‚Ü‚·B_x005f_x000d__x005f_x000a_Maximized" xfId="1466"/>
    <cellStyle name="omma [0]_Mktg Prog" xfId="1467"/>
    <cellStyle name="ormal_Sheet1_1" xfId="1468"/>
    <cellStyle name="p" xfId="1469"/>
    <cellStyle name="Pattern" xfId="1470"/>
    <cellStyle name="per.style" xfId="1471"/>
    <cellStyle name="Percent [0]" xfId="1472"/>
    <cellStyle name="Percent [00]" xfId="1473"/>
    <cellStyle name="Percent [2]" xfId="1474"/>
    <cellStyle name="Percent [2] 2" xfId="1475"/>
    <cellStyle name="Percent 2" xfId="1476"/>
    <cellStyle name="Percent 2 2" xfId="1477"/>
    <cellStyle name="Percent 2 2 2" xfId="1478"/>
    <cellStyle name="Percent 2 3" xfId="1479"/>
    <cellStyle name="Percent 2 4" xfId="1480"/>
    <cellStyle name="Percent 3" xfId="1481"/>
    <cellStyle name="Percent 4" xfId="1482"/>
    <cellStyle name="PERCENTAGE" xfId="1483"/>
    <cellStyle name="PERCENTAGE 2" xfId="1484"/>
    <cellStyle name="PrePop Currency (0)" xfId="1485"/>
    <cellStyle name="PrePop Currency (2)" xfId="1486"/>
    <cellStyle name="PrePop Units (0)" xfId="1487"/>
    <cellStyle name="PrePop Units (1)" xfId="1488"/>
    <cellStyle name="PrePop Units (2)" xfId="1489"/>
    <cellStyle name="pricing" xfId="1490"/>
    <cellStyle name="PSChar" xfId="1491"/>
    <cellStyle name="PSHeading" xfId="1492"/>
    <cellStyle name="Quantity" xfId="1493"/>
    <cellStyle name="regstoresfromspecstores" xfId="1494"/>
    <cellStyle name="RevList" xfId="1495"/>
    <cellStyle name="rlink_tiªn l­în_x005f_x001b_Hyperlink_TONG HOP KINH PHI" xfId="1496"/>
    <cellStyle name="rmal_ADAdot" xfId="1497"/>
    <cellStyle name="S—_x0008_" xfId="1498"/>
    <cellStyle name="s]_x000d__x000a_spooler=yes_x000d__x000a_load=_x000d__x000a_Beep=yes_x000d__x000a_NullPort=None_x000d__x000a_BorderWidth=3_x000d__x000a_CursorBlinkRate=1200_x000d__x000a_DoubleClickSpeed=452_x000d__x000a_Programs=co" xfId="1499"/>
    <cellStyle name="s]_x005f_x000d__x005f_x000a_spooler=yes_x005f_x000d__x005f_x000a_load=_x005f_x000d__x005f_x000a_Beep=yes_x005f_x000d__x005f_x000a_NullPort=None_x005f_x000d__x005f_x000a_BorderWidth=3_x005f_x000d__x005f_x000a_CursorBlinkRate=1200_x005f_x000d__x005f_x000a_DoubleClickSpeed=452_x005f_x000d__x005f_x000a_Programs=co" xfId="1500"/>
    <cellStyle name="S—_x005f_x0008_" xfId="1501"/>
    <cellStyle name="SAPBEXaggData" xfId="1502"/>
    <cellStyle name="SAPBEXaggDataEmph" xfId="1503"/>
    <cellStyle name="SAPBEXaggItem" xfId="1504"/>
    <cellStyle name="SAPBEXchaText" xfId="1505"/>
    <cellStyle name="SAPBEXexcBad7" xfId="1506"/>
    <cellStyle name="SAPBEXexcBad8" xfId="1507"/>
    <cellStyle name="SAPBEXexcBad9" xfId="1508"/>
    <cellStyle name="SAPBEXexcCritical4" xfId="1509"/>
    <cellStyle name="SAPBEXexcCritical5" xfId="1510"/>
    <cellStyle name="SAPBEXexcCritical6" xfId="1511"/>
    <cellStyle name="SAPBEXexcGood1" xfId="1512"/>
    <cellStyle name="SAPBEXexcGood2" xfId="1513"/>
    <cellStyle name="SAPBEXexcGood3" xfId="1514"/>
    <cellStyle name="SAPBEXfilterDrill" xfId="1515"/>
    <cellStyle name="SAPBEXfilterItem" xfId="1516"/>
    <cellStyle name="SAPBEXfilterText" xfId="1517"/>
    <cellStyle name="SAPBEXformats" xfId="1518"/>
    <cellStyle name="SAPBEXheaderItem" xfId="1519"/>
    <cellStyle name="SAPBEXheaderText" xfId="1520"/>
    <cellStyle name="SAPBEXresData" xfId="1521"/>
    <cellStyle name="SAPBEXresDataEmph" xfId="1522"/>
    <cellStyle name="SAPBEXresItem" xfId="1523"/>
    <cellStyle name="SAPBEXstdData" xfId="1524"/>
    <cellStyle name="SAPBEXstdDataEmph" xfId="1525"/>
    <cellStyle name="SAPBEXstdItem" xfId="1526"/>
    <cellStyle name="SAPBEXtitle" xfId="1527"/>
    <cellStyle name="SAPBEXundefined" xfId="1528"/>
    <cellStyle name="serJet 1200 Series PCL 6" xfId="1529"/>
    <cellStyle name="SHADEDSTORES" xfId="1530"/>
    <cellStyle name="SHADEDSTORES 2" xfId="1531"/>
    <cellStyle name="songuyen" xfId="1532"/>
    <cellStyle name="specstores" xfId="1533"/>
    <cellStyle name="Standard_AAbgleich" xfId="1534"/>
    <cellStyle name="STTDG" xfId="1535"/>
    <cellStyle name="Style 1" xfId="1536"/>
    <cellStyle name="Style 1 2" xfId="1537"/>
    <cellStyle name="Style 10" xfId="1538"/>
    <cellStyle name="Style 100" xfId="1539"/>
    <cellStyle name="Style 101" xfId="1540"/>
    <cellStyle name="Style 102" xfId="1541"/>
    <cellStyle name="Style 103" xfId="1542"/>
    <cellStyle name="Style 104" xfId="1543"/>
    <cellStyle name="Style 105" xfId="1544"/>
    <cellStyle name="Style 106" xfId="1545"/>
    <cellStyle name="Style 107" xfId="1546"/>
    <cellStyle name="Style 108" xfId="1547"/>
    <cellStyle name="Style 109" xfId="1548"/>
    <cellStyle name="Style 11" xfId="1549"/>
    <cellStyle name="Style 110" xfId="1550"/>
    <cellStyle name="Style 111" xfId="1551"/>
    <cellStyle name="Style 112" xfId="1552"/>
    <cellStyle name="Style 113" xfId="1553"/>
    <cellStyle name="Style 114" xfId="1554"/>
    <cellStyle name="Style 115" xfId="1555"/>
    <cellStyle name="Style 116" xfId="1556"/>
    <cellStyle name="Style 117" xfId="1557"/>
    <cellStyle name="Style 118" xfId="1558"/>
    <cellStyle name="Style 119" xfId="1559"/>
    <cellStyle name="Style 12" xfId="1560"/>
    <cellStyle name="Style 120" xfId="1561"/>
    <cellStyle name="Style 121" xfId="1562"/>
    <cellStyle name="Style 122" xfId="1563"/>
    <cellStyle name="Style 123" xfId="1564"/>
    <cellStyle name="Style 124" xfId="1565"/>
    <cellStyle name="Style 125" xfId="1566"/>
    <cellStyle name="Style 126" xfId="1567"/>
    <cellStyle name="Style 127" xfId="1568"/>
    <cellStyle name="Style 128" xfId="1569"/>
    <cellStyle name="Style 129" xfId="1570"/>
    <cellStyle name="Style 13" xfId="1571"/>
    <cellStyle name="Style 130" xfId="1572"/>
    <cellStyle name="Style 131" xfId="1573"/>
    <cellStyle name="Style 132" xfId="1574"/>
    <cellStyle name="Style 133" xfId="1575"/>
    <cellStyle name="Style 134" xfId="1576"/>
    <cellStyle name="Style 135" xfId="1577"/>
    <cellStyle name="Style 136" xfId="1578"/>
    <cellStyle name="Style 137" xfId="1579"/>
    <cellStyle name="Style 138" xfId="1580"/>
    <cellStyle name="Style 139" xfId="1581"/>
    <cellStyle name="Style 14" xfId="1582"/>
    <cellStyle name="Style 140" xfId="1583"/>
    <cellStyle name="Style 141" xfId="1584"/>
    <cellStyle name="Style 142" xfId="1585"/>
    <cellStyle name="Style 143" xfId="1586"/>
    <cellStyle name="Style 144" xfId="1587"/>
    <cellStyle name="Style 145" xfId="1588"/>
    <cellStyle name="Style 146" xfId="1589"/>
    <cellStyle name="Style 147" xfId="1590"/>
    <cellStyle name="Style 148" xfId="1591"/>
    <cellStyle name="Style 149" xfId="1592"/>
    <cellStyle name="Style 15" xfId="1593"/>
    <cellStyle name="Style 150" xfId="1594"/>
    <cellStyle name="Style 151" xfId="1595"/>
    <cellStyle name="Style 152" xfId="1596"/>
    <cellStyle name="Style 153" xfId="1597"/>
    <cellStyle name="Style 154" xfId="1598"/>
    <cellStyle name="Style 155" xfId="1599"/>
    <cellStyle name="Style 16" xfId="1600"/>
    <cellStyle name="Style 17" xfId="1601"/>
    <cellStyle name="Style 18" xfId="1602"/>
    <cellStyle name="Style 19" xfId="1603"/>
    <cellStyle name="Style 2" xfId="1604"/>
    <cellStyle name="Style 20" xfId="1605"/>
    <cellStyle name="Style 21" xfId="1606"/>
    <cellStyle name="Style 22" xfId="1607"/>
    <cellStyle name="Style 23" xfId="1608"/>
    <cellStyle name="Style 24" xfId="1609"/>
    <cellStyle name="Style 25" xfId="1610"/>
    <cellStyle name="Style 26" xfId="1611"/>
    <cellStyle name="Style 27" xfId="1612"/>
    <cellStyle name="Style 28" xfId="1613"/>
    <cellStyle name="Style 29" xfId="1614"/>
    <cellStyle name="Style 3" xfId="1615"/>
    <cellStyle name="Style 30" xfId="1616"/>
    <cellStyle name="Style 31" xfId="1617"/>
    <cellStyle name="Style 32" xfId="1618"/>
    <cellStyle name="Style 33" xfId="1619"/>
    <cellStyle name="Style 34" xfId="1620"/>
    <cellStyle name="Style 35" xfId="1621"/>
    <cellStyle name="Style 36" xfId="1622"/>
    <cellStyle name="Style 37" xfId="1623"/>
    <cellStyle name="Style 38" xfId="1624"/>
    <cellStyle name="Style 39" xfId="1625"/>
    <cellStyle name="Style 4" xfId="1626"/>
    <cellStyle name="Style 40" xfId="1627"/>
    <cellStyle name="Style 41" xfId="1628"/>
    <cellStyle name="Style 42" xfId="1629"/>
    <cellStyle name="Style 43" xfId="1630"/>
    <cellStyle name="Style 44" xfId="1631"/>
    <cellStyle name="Style 45" xfId="1632"/>
    <cellStyle name="Style 46" xfId="1633"/>
    <cellStyle name="Style 47" xfId="1634"/>
    <cellStyle name="Style 48" xfId="1635"/>
    <cellStyle name="Style 49" xfId="1636"/>
    <cellStyle name="Style 5" xfId="1637"/>
    <cellStyle name="Style 50" xfId="1638"/>
    <cellStyle name="Style 51" xfId="1639"/>
    <cellStyle name="Style 52" xfId="1640"/>
    <cellStyle name="Style 53" xfId="1641"/>
    <cellStyle name="Style 54" xfId="1642"/>
    <cellStyle name="Style 55" xfId="1643"/>
    <cellStyle name="Style 56" xfId="1644"/>
    <cellStyle name="Style 57" xfId="1645"/>
    <cellStyle name="Style 58" xfId="1646"/>
    <cellStyle name="Style 59" xfId="1647"/>
    <cellStyle name="Style 6" xfId="1648"/>
    <cellStyle name="Style 60" xfId="1649"/>
    <cellStyle name="Style 61" xfId="1650"/>
    <cellStyle name="Style 62" xfId="1651"/>
    <cellStyle name="Style 63" xfId="1652"/>
    <cellStyle name="Style 64" xfId="1653"/>
    <cellStyle name="Style 65" xfId="1654"/>
    <cellStyle name="Style 66" xfId="1655"/>
    <cellStyle name="Style 67" xfId="1656"/>
    <cellStyle name="Style 68" xfId="1657"/>
    <cellStyle name="Style 69" xfId="1658"/>
    <cellStyle name="Style 7" xfId="1659"/>
    <cellStyle name="Style 70" xfId="1660"/>
    <cellStyle name="Style 71" xfId="1661"/>
    <cellStyle name="Style 72" xfId="1662"/>
    <cellStyle name="Style 73" xfId="1663"/>
    <cellStyle name="Style 74" xfId="1664"/>
    <cellStyle name="Style 75" xfId="1665"/>
    <cellStyle name="Style 76" xfId="1666"/>
    <cellStyle name="Style 77" xfId="1667"/>
    <cellStyle name="Style 78" xfId="1668"/>
    <cellStyle name="Style 79" xfId="1669"/>
    <cellStyle name="Style 8" xfId="1670"/>
    <cellStyle name="Style 80" xfId="1671"/>
    <cellStyle name="Style 81" xfId="1672"/>
    <cellStyle name="Style 82" xfId="1673"/>
    <cellStyle name="Style 83" xfId="1674"/>
    <cellStyle name="Style 84" xfId="1675"/>
    <cellStyle name="Style 85" xfId="1676"/>
    <cellStyle name="Style 86" xfId="1677"/>
    <cellStyle name="Style 87" xfId="1678"/>
    <cellStyle name="Style 88" xfId="1679"/>
    <cellStyle name="Style 89" xfId="1680"/>
    <cellStyle name="Style 9" xfId="1681"/>
    <cellStyle name="Style 90" xfId="1682"/>
    <cellStyle name="Style 91" xfId="1683"/>
    <cellStyle name="Style 92" xfId="1684"/>
    <cellStyle name="Style 93" xfId="1685"/>
    <cellStyle name="Style 94" xfId="1686"/>
    <cellStyle name="Style 95" xfId="1687"/>
    <cellStyle name="Style 96" xfId="1688"/>
    <cellStyle name="Style 97" xfId="1689"/>
    <cellStyle name="Style 98" xfId="1690"/>
    <cellStyle name="Style 99" xfId="1691"/>
    <cellStyle name="Style Date" xfId="1692"/>
    <cellStyle name="style_1" xfId="1693"/>
    <cellStyle name="subhead" xfId="1694"/>
    <cellStyle name="Subtotal" xfId="1695"/>
    <cellStyle name="symbol" xfId="1696"/>
    <cellStyle name="T" xfId="1697"/>
    <cellStyle name="T 2" xfId="1698"/>
    <cellStyle name="T_bao cao" xfId="1699"/>
    <cellStyle name="T_bao cao 2" xfId="1700"/>
    <cellStyle name="T_Bao cao so lieu kiem toan nam 2007 sua" xfId="1701"/>
    <cellStyle name="T_Bao cao so lieu kiem toan nam 2007 sua 2" xfId="1702"/>
    <cellStyle name="T_Bao cao so lieu kiem toan nam 2007 sua_!1 1 bao cao giao KH ve HTCMT vung TNB   12-12-2011" xfId="1703"/>
    <cellStyle name="T_Bao cao so lieu kiem toan nam 2007 sua_!1 1 bao cao giao KH ve HTCMT vung TNB   12-12-2011 2" xfId="1704"/>
    <cellStyle name="T_Bao cao so lieu kiem toan nam 2007 sua_KH TPCP vung TNB (03-1-2012)" xfId="1705"/>
    <cellStyle name="T_Bao cao so lieu kiem toan nam 2007 sua_KH TPCP vung TNB (03-1-2012) 2" xfId="1706"/>
    <cellStyle name="T_bao cao_!1 1 bao cao giao KH ve HTCMT vung TNB   12-12-2011" xfId="1707"/>
    <cellStyle name="T_bao cao_!1 1 bao cao giao KH ve HTCMT vung TNB   12-12-2011 2" xfId="1708"/>
    <cellStyle name="T_bao cao_Bieu4HTMT" xfId="1709"/>
    <cellStyle name="T_bao cao_Bieu4HTMT 2" xfId="1710"/>
    <cellStyle name="T_bao cao_Bieu4HTMT_!1 1 bao cao giao KH ve HTCMT vung TNB   12-12-2011" xfId="1711"/>
    <cellStyle name="T_bao cao_Bieu4HTMT_!1 1 bao cao giao KH ve HTCMT vung TNB   12-12-2011 2" xfId="1712"/>
    <cellStyle name="T_bao cao_Bieu4HTMT_KH TPCP vung TNB (03-1-2012)" xfId="1713"/>
    <cellStyle name="T_bao cao_Bieu4HTMT_KH TPCP vung TNB (03-1-2012) 2" xfId="1714"/>
    <cellStyle name="T_bao cao_KH TPCP vung TNB (03-1-2012)" xfId="1715"/>
    <cellStyle name="T_bao cao_KH TPCP vung TNB (03-1-2012) 2" xfId="1716"/>
    <cellStyle name="T_BBTNG-06" xfId="1717"/>
    <cellStyle name="T_BBTNG-06 2" xfId="1718"/>
    <cellStyle name="T_BBTNG-06_!1 1 bao cao giao KH ve HTCMT vung TNB   12-12-2011" xfId="1719"/>
    <cellStyle name="T_BBTNG-06_!1 1 bao cao giao KH ve HTCMT vung TNB   12-12-2011 2" xfId="1720"/>
    <cellStyle name="T_BBTNG-06_Bieu4HTMT" xfId="1721"/>
    <cellStyle name="T_BBTNG-06_Bieu4HTMT 2" xfId="1722"/>
    <cellStyle name="T_BBTNG-06_Bieu4HTMT_!1 1 bao cao giao KH ve HTCMT vung TNB   12-12-2011" xfId="1723"/>
    <cellStyle name="T_BBTNG-06_Bieu4HTMT_!1 1 bao cao giao KH ve HTCMT vung TNB   12-12-2011 2" xfId="1724"/>
    <cellStyle name="T_BBTNG-06_Bieu4HTMT_KH TPCP vung TNB (03-1-2012)" xfId="1725"/>
    <cellStyle name="T_BBTNG-06_Bieu4HTMT_KH TPCP vung TNB (03-1-2012) 2" xfId="1726"/>
    <cellStyle name="T_BBTNG-06_KH TPCP vung TNB (03-1-2012)" xfId="1727"/>
    <cellStyle name="T_BBTNG-06_KH TPCP vung TNB (03-1-2012) 2" xfId="1728"/>
    <cellStyle name="T_BC  NAM 2007" xfId="1729"/>
    <cellStyle name="T_BC  NAM 2007 2" xfId="1730"/>
    <cellStyle name="T_BC CTMT-2008 Ttinh" xfId="1731"/>
    <cellStyle name="T_BC CTMT-2008 Ttinh 2" xfId="1732"/>
    <cellStyle name="T_BC CTMT-2008 Ttinh_!1 1 bao cao giao KH ve HTCMT vung TNB   12-12-2011" xfId="1733"/>
    <cellStyle name="T_BC CTMT-2008 Ttinh_!1 1 bao cao giao KH ve HTCMT vung TNB   12-12-2011 2" xfId="1734"/>
    <cellStyle name="T_BC CTMT-2008 Ttinh_KH TPCP vung TNB (03-1-2012)" xfId="1735"/>
    <cellStyle name="T_BC CTMT-2008 Ttinh_KH TPCP vung TNB (03-1-2012) 2" xfId="1736"/>
    <cellStyle name="T_Bieu mau cong trinh khoi cong moi 3-4" xfId="1737"/>
    <cellStyle name="T_Bieu mau cong trinh khoi cong moi 3-4 2" xfId="1738"/>
    <cellStyle name="T_Bieu mau cong trinh khoi cong moi 3-4_!1 1 bao cao giao KH ve HTCMT vung TNB   12-12-2011" xfId="1739"/>
    <cellStyle name="T_Bieu mau cong trinh khoi cong moi 3-4_!1 1 bao cao giao KH ve HTCMT vung TNB   12-12-2011 2" xfId="1740"/>
    <cellStyle name="T_Bieu mau cong trinh khoi cong moi 3-4_KH TPCP vung TNB (03-1-2012)" xfId="1741"/>
    <cellStyle name="T_Bieu mau cong trinh khoi cong moi 3-4_KH TPCP vung TNB (03-1-2012) 2" xfId="1742"/>
    <cellStyle name="T_Bieu mau danh muc du an thuoc CTMTQG nam 2008" xfId="1743"/>
    <cellStyle name="T_Bieu mau danh muc du an thuoc CTMTQG nam 2008 2" xfId="1744"/>
    <cellStyle name="T_Bieu mau danh muc du an thuoc CTMTQG nam 2008_!1 1 bao cao giao KH ve HTCMT vung TNB   12-12-2011" xfId="1745"/>
    <cellStyle name="T_Bieu mau danh muc du an thuoc CTMTQG nam 2008_!1 1 bao cao giao KH ve HTCMT vung TNB   12-12-2011 2" xfId="1746"/>
    <cellStyle name="T_Bieu mau danh muc du an thuoc CTMTQG nam 2008_KH TPCP vung TNB (03-1-2012)" xfId="1747"/>
    <cellStyle name="T_Bieu mau danh muc du an thuoc CTMTQG nam 2008_KH TPCP vung TNB (03-1-2012) 2" xfId="1748"/>
    <cellStyle name="T_Bieu tong hop nhu cau ung 2011 da chon loc -Mien nui" xfId="1749"/>
    <cellStyle name="T_Bieu tong hop nhu cau ung 2011 da chon loc -Mien nui 2" xfId="1750"/>
    <cellStyle name="T_Bieu tong hop nhu cau ung 2011 da chon loc -Mien nui_!1 1 bao cao giao KH ve HTCMT vung TNB   12-12-2011" xfId="1751"/>
    <cellStyle name="T_Bieu tong hop nhu cau ung 2011 da chon loc -Mien nui_!1 1 bao cao giao KH ve HTCMT vung TNB   12-12-2011 2" xfId="1752"/>
    <cellStyle name="T_Bieu tong hop nhu cau ung 2011 da chon loc -Mien nui_KH TPCP vung TNB (03-1-2012)" xfId="1753"/>
    <cellStyle name="T_Bieu tong hop nhu cau ung 2011 da chon loc -Mien nui_KH TPCP vung TNB (03-1-2012) 2" xfId="1754"/>
    <cellStyle name="T_Bieu3ODA" xfId="1755"/>
    <cellStyle name="T_Bieu3ODA 2" xfId="1756"/>
    <cellStyle name="T_Bieu3ODA_!1 1 bao cao giao KH ve HTCMT vung TNB   12-12-2011" xfId="1757"/>
    <cellStyle name="T_Bieu3ODA_!1 1 bao cao giao KH ve HTCMT vung TNB   12-12-2011 2" xfId="1758"/>
    <cellStyle name="T_Bieu3ODA_1" xfId="1759"/>
    <cellStyle name="T_Bieu3ODA_1 2" xfId="1760"/>
    <cellStyle name="T_Bieu3ODA_1_!1 1 bao cao giao KH ve HTCMT vung TNB   12-12-2011" xfId="1761"/>
    <cellStyle name="T_Bieu3ODA_1_!1 1 bao cao giao KH ve HTCMT vung TNB   12-12-2011 2" xfId="1762"/>
    <cellStyle name="T_Bieu3ODA_1_KH TPCP vung TNB (03-1-2012)" xfId="1763"/>
    <cellStyle name="T_Bieu3ODA_1_KH TPCP vung TNB (03-1-2012) 2" xfId="1764"/>
    <cellStyle name="T_Bieu3ODA_KH TPCP vung TNB (03-1-2012)" xfId="1765"/>
    <cellStyle name="T_Bieu3ODA_KH TPCP vung TNB (03-1-2012) 2" xfId="1766"/>
    <cellStyle name="T_Bieu4HTMT" xfId="1767"/>
    <cellStyle name="T_Bieu4HTMT 2" xfId="1768"/>
    <cellStyle name="T_Bieu4HTMT_!1 1 bao cao giao KH ve HTCMT vung TNB   12-12-2011" xfId="1769"/>
    <cellStyle name="T_Bieu4HTMT_!1 1 bao cao giao KH ve HTCMT vung TNB   12-12-2011 2" xfId="1770"/>
    <cellStyle name="T_Bieu4HTMT_KH TPCP vung TNB (03-1-2012)" xfId="1771"/>
    <cellStyle name="T_Bieu4HTMT_KH TPCP vung TNB (03-1-2012) 2" xfId="1772"/>
    <cellStyle name="T_bo sung von KCH nam 2010 va Du an tre kho khan" xfId="1773"/>
    <cellStyle name="T_bo sung von KCH nam 2010 va Du an tre kho khan 2" xfId="1774"/>
    <cellStyle name="T_bo sung von KCH nam 2010 va Du an tre kho khan_!1 1 bao cao giao KH ve HTCMT vung TNB   12-12-2011" xfId="1775"/>
    <cellStyle name="T_bo sung von KCH nam 2010 va Du an tre kho khan_!1 1 bao cao giao KH ve HTCMT vung TNB   12-12-2011 2" xfId="1776"/>
    <cellStyle name="T_bo sung von KCH nam 2010 va Du an tre kho khan_KH TPCP vung TNB (03-1-2012)" xfId="1777"/>
    <cellStyle name="T_bo sung von KCH nam 2010 va Du an tre kho khan_KH TPCP vung TNB (03-1-2012) 2" xfId="1778"/>
    <cellStyle name="T_Book1" xfId="1779"/>
    <cellStyle name="T_Book1 2" xfId="1780"/>
    <cellStyle name="T_Book1_!1 1 bao cao giao KH ve HTCMT vung TNB   12-12-2011" xfId="1781"/>
    <cellStyle name="T_Book1_!1 1 bao cao giao KH ve HTCMT vung TNB   12-12-2011 2" xfId="1782"/>
    <cellStyle name="T_Book1_1" xfId="1783"/>
    <cellStyle name="T_Book1_1 2" xfId="1784"/>
    <cellStyle name="T_Book1_1_Bieu tong hop nhu cau ung 2011 da chon loc -Mien nui" xfId="1785"/>
    <cellStyle name="T_Book1_1_Bieu tong hop nhu cau ung 2011 da chon loc -Mien nui 2" xfId="1786"/>
    <cellStyle name="T_Book1_1_Bieu tong hop nhu cau ung 2011 da chon loc -Mien nui_!1 1 bao cao giao KH ve HTCMT vung TNB   12-12-2011" xfId="1787"/>
    <cellStyle name="T_Book1_1_Bieu tong hop nhu cau ung 2011 da chon loc -Mien nui_!1 1 bao cao giao KH ve HTCMT vung TNB   12-12-2011 2" xfId="1788"/>
    <cellStyle name="T_Book1_1_Bieu tong hop nhu cau ung 2011 da chon loc -Mien nui_KH TPCP vung TNB (03-1-2012)" xfId="1789"/>
    <cellStyle name="T_Book1_1_Bieu tong hop nhu cau ung 2011 da chon loc -Mien nui_KH TPCP vung TNB (03-1-2012) 2" xfId="1790"/>
    <cellStyle name="T_Book1_1_Bieu3ODA" xfId="1791"/>
    <cellStyle name="T_Book1_1_Bieu3ODA 2" xfId="1792"/>
    <cellStyle name="T_Book1_1_Bieu3ODA_!1 1 bao cao giao KH ve HTCMT vung TNB   12-12-2011" xfId="1793"/>
    <cellStyle name="T_Book1_1_Bieu3ODA_!1 1 bao cao giao KH ve HTCMT vung TNB   12-12-2011 2" xfId="1794"/>
    <cellStyle name="T_Book1_1_Bieu3ODA_KH TPCP vung TNB (03-1-2012)" xfId="1795"/>
    <cellStyle name="T_Book1_1_Bieu3ODA_KH TPCP vung TNB (03-1-2012) 2" xfId="1796"/>
    <cellStyle name="T_Book1_1_CPK" xfId="1797"/>
    <cellStyle name="T_Book1_1_CPK 2" xfId="1798"/>
    <cellStyle name="T_Book1_1_CPK_!1 1 bao cao giao KH ve HTCMT vung TNB   12-12-2011" xfId="1799"/>
    <cellStyle name="T_Book1_1_CPK_!1 1 bao cao giao KH ve HTCMT vung TNB   12-12-2011 2" xfId="1800"/>
    <cellStyle name="T_Book1_1_CPK_Bieu4HTMT" xfId="1801"/>
    <cellStyle name="T_Book1_1_CPK_Bieu4HTMT 2" xfId="1802"/>
    <cellStyle name="T_Book1_1_CPK_Bieu4HTMT_!1 1 bao cao giao KH ve HTCMT vung TNB   12-12-2011" xfId="1803"/>
    <cellStyle name="T_Book1_1_CPK_Bieu4HTMT_!1 1 bao cao giao KH ve HTCMT vung TNB   12-12-2011 2" xfId="1804"/>
    <cellStyle name="T_Book1_1_CPK_Bieu4HTMT_KH TPCP vung TNB (03-1-2012)" xfId="1805"/>
    <cellStyle name="T_Book1_1_CPK_Bieu4HTMT_KH TPCP vung TNB (03-1-2012) 2" xfId="1806"/>
    <cellStyle name="T_Book1_1_CPK_KH TPCP vung TNB (03-1-2012)" xfId="1807"/>
    <cellStyle name="T_Book1_1_CPK_KH TPCP vung TNB (03-1-2012) 2" xfId="1808"/>
    <cellStyle name="T_Book1_1_kien giang 2" xfId="1811"/>
    <cellStyle name="T_Book1_1_kien giang 2 2" xfId="1812"/>
    <cellStyle name="T_Book1_1_KH TPCP vung TNB (03-1-2012)" xfId="1809"/>
    <cellStyle name="T_Book1_1_KH TPCP vung TNB (03-1-2012) 2" xfId="1810"/>
    <cellStyle name="T_Book1_1_Luy ke von ung nam 2011 -Thoa gui ngay 12-8-2012" xfId="1813"/>
    <cellStyle name="T_Book1_1_Luy ke von ung nam 2011 -Thoa gui ngay 12-8-2012 2" xfId="1814"/>
    <cellStyle name="T_Book1_1_Luy ke von ung nam 2011 -Thoa gui ngay 12-8-2012_!1 1 bao cao giao KH ve HTCMT vung TNB   12-12-2011" xfId="1815"/>
    <cellStyle name="T_Book1_1_Luy ke von ung nam 2011 -Thoa gui ngay 12-8-2012_!1 1 bao cao giao KH ve HTCMT vung TNB   12-12-2011 2" xfId="1816"/>
    <cellStyle name="T_Book1_1_Luy ke von ung nam 2011 -Thoa gui ngay 12-8-2012_KH TPCP vung TNB (03-1-2012)" xfId="1817"/>
    <cellStyle name="T_Book1_1_Luy ke von ung nam 2011 -Thoa gui ngay 12-8-2012_KH TPCP vung TNB (03-1-2012) 2" xfId="1818"/>
    <cellStyle name="T_Book1_1_Thiet bi" xfId="1819"/>
    <cellStyle name="T_Book1_1_Thiet bi 2" xfId="1820"/>
    <cellStyle name="T_Book1_1_Thiet bi_!1 1 bao cao giao KH ve HTCMT vung TNB   12-12-2011" xfId="1821"/>
    <cellStyle name="T_Book1_1_Thiet bi_!1 1 bao cao giao KH ve HTCMT vung TNB   12-12-2011 2" xfId="1822"/>
    <cellStyle name="T_Book1_1_Thiet bi_Bieu4HTMT" xfId="1823"/>
    <cellStyle name="T_Book1_1_Thiet bi_Bieu4HTMT 2" xfId="1824"/>
    <cellStyle name="T_Book1_1_Thiet bi_Bieu4HTMT_!1 1 bao cao giao KH ve HTCMT vung TNB   12-12-2011" xfId="1825"/>
    <cellStyle name="T_Book1_1_Thiet bi_Bieu4HTMT_!1 1 bao cao giao KH ve HTCMT vung TNB   12-12-2011 2" xfId="1826"/>
    <cellStyle name="T_Book1_1_Thiet bi_Bieu4HTMT_KH TPCP vung TNB (03-1-2012)" xfId="1827"/>
    <cellStyle name="T_Book1_1_Thiet bi_Bieu4HTMT_KH TPCP vung TNB (03-1-2012) 2" xfId="1828"/>
    <cellStyle name="T_Book1_1_Thiet bi_KH TPCP vung TNB (03-1-2012)" xfId="1829"/>
    <cellStyle name="T_Book1_1_Thiet bi_KH TPCP vung TNB (03-1-2012) 2" xfId="1830"/>
    <cellStyle name="T_Book1_BC NQ11-CP - chinh sua lai" xfId="1831"/>
    <cellStyle name="T_Book1_BC NQ11-CP - chinh sua lai 2" xfId="1832"/>
    <cellStyle name="T_Book1_BC NQ11-CP-Quynh sau bieu so3" xfId="1833"/>
    <cellStyle name="T_Book1_BC NQ11-CP-Quynh sau bieu so3 2" xfId="1834"/>
    <cellStyle name="T_Book1_BC_NQ11-CP_-_Thao_sua_lai" xfId="1835"/>
    <cellStyle name="T_Book1_BC_NQ11-CP_-_Thao_sua_lai 2" xfId="1836"/>
    <cellStyle name="T_Book1_Bieu mau cong trinh khoi cong moi 3-4" xfId="1837"/>
    <cellStyle name="T_Book1_Bieu mau cong trinh khoi cong moi 3-4 2" xfId="1838"/>
    <cellStyle name="T_Book1_Bieu mau cong trinh khoi cong moi 3-4_!1 1 bao cao giao KH ve HTCMT vung TNB   12-12-2011" xfId="1839"/>
    <cellStyle name="T_Book1_Bieu mau cong trinh khoi cong moi 3-4_!1 1 bao cao giao KH ve HTCMT vung TNB   12-12-2011 2" xfId="1840"/>
    <cellStyle name="T_Book1_Bieu mau cong trinh khoi cong moi 3-4_KH TPCP vung TNB (03-1-2012)" xfId="1841"/>
    <cellStyle name="T_Book1_Bieu mau cong trinh khoi cong moi 3-4_KH TPCP vung TNB (03-1-2012) 2" xfId="1842"/>
    <cellStyle name="T_Book1_Bieu mau danh muc du an thuoc CTMTQG nam 2008" xfId="1843"/>
    <cellStyle name="T_Book1_Bieu mau danh muc du an thuoc CTMTQG nam 2008 2" xfId="1844"/>
    <cellStyle name="T_Book1_Bieu mau danh muc du an thuoc CTMTQG nam 2008_!1 1 bao cao giao KH ve HTCMT vung TNB   12-12-2011" xfId="1845"/>
    <cellStyle name="T_Book1_Bieu mau danh muc du an thuoc CTMTQG nam 2008_!1 1 bao cao giao KH ve HTCMT vung TNB   12-12-2011 2" xfId="1846"/>
    <cellStyle name="T_Book1_Bieu mau danh muc du an thuoc CTMTQG nam 2008_KH TPCP vung TNB (03-1-2012)" xfId="1847"/>
    <cellStyle name="T_Book1_Bieu mau danh muc du an thuoc CTMTQG nam 2008_KH TPCP vung TNB (03-1-2012) 2" xfId="1848"/>
    <cellStyle name="T_Book1_Bieu tong hop nhu cau ung 2011 da chon loc -Mien nui" xfId="1849"/>
    <cellStyle name="T_Book1_Bieu tong hop nhu cau ung 2011 da chon loc -Mien nui 2" xfId="1850"/>
    <cellStyle name="T_Book1_Bieu tong hop nhu cau ung 2011 da chon loc -Mien nui_!1 1 bao cao giao KH ve HTCMT vung TNB   12-12-2011" xfId="1851"/>
    <cellStyle name="T_Book1_Bieu tong hop nhu cau ung 2011 da chon loc -Mien nui_!1 1 bao cao giao KH ve HTCMT vung TNB   12-12-2011 2" xfId="1852"/>
    <cellStyle name="T_Book1_Bieu tong hop nhu cau ung 2011 da chon loc -Mien nui_KH TPCP vung TNB (03-1-2012)" xfId="1853"/>
    <cellStyle name="T_Book1_Bieu tong hop nhu cau ung 2011 da chon loc -Mien nui_KH TPCP vung TNB (03-1-2012) 2" xfId="1854"/>
    <cellStyle name="T_Book1_Bieu3ODA" xfId="1855"/>
    <cellStyle name="T_Book1_Bieu3ODA 2" xfId="1856"/>
    <cellStyle name="T_Book1_Bieu3ODA_!1 1 bao cao giao KH ve HTCMT vung TNB   12-12-2011" xfId="1857"/>
    <cellStyle name="T_Book1_Bieu3ODA_!1 1 bao cao giao KH ve HTCMT vung TNB   12-12-2011 2" xfId="1858"/>
    <cellStyle name="T_Book1_Bieu3ODA_1" xfId="1859"/>
    <cellStyle name="T_Book1_Bieu3ODA_1 2" xfId="1860"/>
    <cellStyle name="T_Book1_Bieu3ODA_1_!1 1 bao cao giao KH ve HTCMT vung TNB   12-12-2011" xfId="1861"/>
    <cellStyle name="T_Book1_Bieu3ODA_1_!1 1 bao cao giao KH ve HTCMT vung TNB   12-12-2011 2" xfId="1862"/>
    <cellStyle name="T_Book1_Bieu3ODA_1_KH TPCP vung TNB (03-1-2012)" xfId="1863"/>
    <cellStyle name="T_Book1_Bieu3ODA_1_KH TPCP vung TNB (03-1-2012) 2" xfId="1864"/>
    <cellStyle name="T_Book1_Bieu3ODA_KH TPCP vung TNB (03-1-2012)" xfId="1865"/>
    <cellStyle name="T_Book1_Bieu3ODA_KH TPCP vung TNB (03-1-2012) 2" xfId="1866"/>
    <cellStyle name="T_Book1_Bieu4HTMT" xfId="1867"/>
    <cellStyle name="T_Book1_Bieu4HTMT 2" xfId="1868"/>
    <cellStyle name="T_Book1_Bieu4HTMT_!1 1 bao cao giao KH ve HTCMT vung TNB   12-12-2011" xfId="1869"/>
    <cellStyle name="T_Book1_Bieu4HTMT_!1 1 bao cao giao KH ve HTCMT vung TNB   12-12-2011 2" xfId="1870"/>
    <cellStyle name="T_Book1_Bieu4HTMT_KH TPCP vung TNB (03-1-2012)" xfId="1871"/>
    <cellStyle name="T_Book1_Bieu4HTMT_KH TPCP vung TNB (03-1-2012) 2" xfId="1872"/>
    <cellStyle name="T_Book1_Book1" xfId="1873"/>
    <cellStyle name="T_Book1_Book1 2" xfId="1874"/>
    <cellStyle name="T_Book1_Cong trinh co y kien LD_Dang_NN_2011-Tay nguyen-9-10" xfId="1875"/>
    <cellStyle name="T_Book1_Cong trinh co y kien LD_Dang_NN_2011-Tay nguyen-9-10 2" xfId="1876"/>
    <cellStyle name="T_Book1_Cong trinh co y kien LD_Dang_NN_2011-Tay nguyen-9-10_!1 1 bao cao giao KH ve HTCMT vung TNB   12-12-2011" xfId="1877"/>
    <cellStyle name="T_Book1_Cong trinh co y kien LD_Dang_NN_2011-Tay nguyen-9-10_!1 1 bao cao giao KH ve HTCMT vung TNB   12-12-2011 2" xfId="1878"/>
    <cellStyle name="T_Book1_Cong trinh co y kien LD_Dang_NN_2011-Tay nguyen-9-10_Bieu4HTMT" xfId="1879"/>
    <cellStyle name="T_Book1_Cong trinh co y kien LD_Dang_NN_2011-Tay nguyen-9-10_Bieu4HTMT 2" xfId="1880"/>
    <cellStyle name="T_Book1_Cong trinh co y kien LD_Dang_NN_2011-Tay nguyen-9-10_KH TPCP vung TNB (03-1-2012)" xfId="1881"/>
    <cellStyle name="T_Book1_Cong trinh co y kien LD_Dang_NN_2011-Tay nguyen-9-10_KH TPCP vung TNB (03-1-2012) 2" xfId="1882"/>
    <cellStyle name="T_Book1_CPK" xfId="1883"/>
    <cellStyle name="T_Book1_CPK 2" xfId="1884"/>
    <cellStyle name="T_Book1_danh muc chuan bi dau tu 2011 ngay 07-6-2011" xfId="1885"/>
    <cellStyle name="T_Book1_danh muc chuan bi dau tu 2011 ngay 07-6-2011 2" xfId="1886"/>
    <cellStyle name="T_Book1_dieu chinh KH 2011 ngay 26-5-2011111" xfId="1887"/>
    <cellStyle name="T_Book1_dieu chinh KH 2011 ngay 26-5-2011111 2" xfId="1888"/>
    <cellStyle name="T_Book1_Du an khoi cong moi nam 2010" xfId="1889"/>
    <cellStyle name="T_Book1_Du an khoi cong moi nam 2010 2" xfId="1890"/>
    <cellStyle name="T_Book1_Du an khoi cong moi nam 2010_!1 1 bao cao giao KH ve HTCMT vung TNB   12-12-2011" xfId="1891"/>
    <cellStyle name="T_Book1_Du an khoi cong moi nam 2010_!1 1 bao cao giao KH ve HTCMT vung TNB   12-12-2011 2" xfId="1892"/>
    <cellStyle name="T_Book1_Du an khoi cong moi nam 2010_KH TPCP vung TNB (03-1-2012)" xfId="1893"/>
    <cellStyle name="T_Book1_Du an khoi cong moi nam 2010_KH TPCP vung TNB (03-1-2012) 2" xfId="1894"/>
    <cellStyle name="T_Book1_giao KH 2011 ngay 10-12-2010" xfId="1895"/>
    <cellStyle name="T_Book1_giao KH 2011 ngay 10-12-2010 2" xfId="1896"/>
    <cellStyle name="T_Book1_Hang Tom goi9 9-07(Cau 12 sua)" xfId="1897"/>
    <cellStyle name="T_Book1_Hang Tom goi9 9-07(Cau 12 sua) 2" xfId="1898"/>
    <cellStyle name="T_Book1_Ket qua phan bo von nam 2008" xfId="1899"/>
    <cellStyle name="T_Book1_Ket qua phan bo von nam 2008 2" xfId="1900"/>
    <cellStyle name="T_Book1_Ket qua phan bo von nam 2008_!1 1 bao cao giao KH ve HTCMT vung TNB   12-12-2011" xfId="1901"/>
    <cellStyle name="T_Book1_Ket qua phan bo von nam 2008_!1 1 bao cao giao KH ve HTCMT vung TNB   12-12-2011 2" xfId="1902"/>
    <cellStyle name="T_Book1_Ket qua phan bo von nam 2008_KH TPCP vung TNB (03-1-2012)" xfId="1903"/>
    <cellStyle name="T_Book1_Ket qua phan bo von nam 2008_KH TPCP vung TNB (03-1-2012) 2" xfId="1904"/>
    <cellStyle name="T_Book1_kien giang 2" xfId="1915"/>
    <cellStyle name="T_Book1_kien giang 2 2" xfId="1916"/>
    <cellStyle name="T_Book1_KH TPCP vung TNB (03-1-2012)" xfId="1905"/>
    <cellStyle name="T_Book1_KH TPCP vung TNB (03-1-2012) 2" xfId="1906"/>
    <cellStyle name="T_Book1_KH XDCB_2008 lan 2 sua ngay 10-11" xfId="1907"/>
    <cellStyle name="T_Book1_KH XDCB_2008 lan 2 sua ngay 10-11 2" xfId="1908"/>
    <cellStyle name="T_Book1_KH XDCB_2008 lan 2 sua ngay 10-11_!1 1 bao cao giao KH ve HTCMT vung TNB   12-12-2011" xfId="1909"/>
    <cellStyle name="T_Book1_KH XDCB_2008 lan 2 sua ngay 10-11_!1 1 bao cao giao KH ve HTCMT vung TNB   12-12-2011 2" xfId="1910"/>
    <cellStyle name="T_Book1_KH XDCB_2008 lan 2 sua ngay 10-11_KH TPCP vung TNB (03-1-2012)" xfId="1911"/>
    <cellStyle name="T_Book1_KH XDCB_2008 lan 2 sua ngay 10-11_KH TPCP vung TNB (03-1-2012) 2" xfId="1912"/>
    <cellStyle name="T_Book1_Khoi luong chinh Hang Tom" xfId="1913"/>
    <cellStyle name="T_Book1_Khoi luong chinh Hang Tom 2" xfId="1914"/>
    <cellStyle name="T_Book1_Luy ke von ung nam 2011 -Thoa gui ngay 12-8-2012" xfId="1917"/>
    <cellStyle name="T_Book1_Luy ke von ung nam 2011 -Thoa gui ngay 12-8-2012 2" xfId="1918"/>
    <cellStyle name="T_Book1_Luy ke von ung nam 2011 -Thoa gui ngay 12-8-2012_!1 1 bao cao giao KH ve HTCMT vung TNB   12-12-2011" xfId="1919"/>
    <cellStyle name="T_Book1_Luy ke von ung nam 2011 -Thoa gui ngay 12-8-2012_!1 1 bao cao giao KH ve HTCMT vung TNB   12-12-2011 2" xfId="1920"/>
    <cellStyle name="T_Book1_Luy ke von ung nam 2011 -Thoa gui ngay 12-8-2012_KH TPCP vung TNB (03-1-2012)" xfId="1921"/>
    <cellStyle name="T_Book1_Luy ke von ung nam 2011 -Thoa gui ngay 12-8-2012_KH TPCP vung TNB (03-1-2012) 2" xfId="1922"/>
    <cellStyle name="T_Book1_Nhu cau von ung truoc 2011 Tha h Hoa + Nge An gui TW" xfId="1923"/>
    <cellStyle name="T_Book1_Nhu cau von ung truoc 2011 Tha h Hoa + Nge An gui TW 2" xfId="1924"/>
    <cellStyle name="T_Book1_Nhu cau von ung truoc 2011 Tha h Hoa + Nge An gui TW_!1 1 bao cao giao KH ve HTCMT vung TNB   12-12-2011" xfId="1925"/>
    <cellStyle name="T_Book1_Nhu cau von ung truoc 2011 Tha h Hoa + Nge An gui TW_!1 1 bao cao giao KH ve HTCMT vung TNB   12-12-2011 2" xfId="1926"/>
    <cellStyle name="T_Book1_Nhu cau von ung truoc 2011 Tha h Hoa + Nge An gui TW_Bieu4HTMT" xfId="1927"/>
    <cellStyle name="T_Book1_Nhu cau von ung truoc 2011 Tha h Hoa + Nge An gui TW_Bieu4HTMT 2" xfId="1928"/>
    <cellStyle name="T_Book1_Nhu cau von ung truoc 2011 Tha h Hoa + Nge An gui TW_Bieu4HTMT_!1 1 bao cao giao KH ve HTCMT vung TNB   12-12-2011" xfId="1929"/>
    <cellStyle name="T_Book1_Nhu cau von ung truoc 2011 Tha h Hoa + Nge An gui TW_Bieu4HTMT_!1 1 bao cao giao KH ve HTCMT vung TNB   12-12-2011 2" xfId="1930"/>
    <cellStyle name="T_Book1_Nhu cau von ung truoc 2011 Tha h Hoa + Nge An gui TW_Bieu4HTMT_KH TPCP vung TNB (03-1-2012)" xfId="1931"/>
    <cellStyle name="T_Book1_Nhu cau von ung truoc 2011 Tha h Hoa + Nge An gui TW_Bieu4HTMT_KH TPCP vung TNB (03-1-2012) 2" xfId="1932"/>
    <cellStyle name="T_Book1_Nhu cau von ung truoc 2011 Tha h Hoa + Nge An gui TW_KH TPCP vung TNB (03-1-2012)" xfId="1933"/>
    <cellStyle name="T_Book1_Nhu cau von ung truoc 2011 Tha h Hoa + Nge An gui TW_KH TPCP vung TNB (03-1-2012) 2" xfId="1934"/>
    <cellStyle name="T_Book1_phu luc tong ket tinh hinh TH giai doan 03-10 (ngay 30)" xfId="1935"/>
    <cellStyle name="T_Book1_phu luc tong ket tinh hinh TH giai doan 03-10 (ngay 30) 2" xfId="1936"/>
    <cellStyle name="T_Book1_phu luc tong ket tinh hinh TH giai doan 03-10 (ngay 30)_!1 1 bao cao giao KH ve HTCMT vung TNB   12-12-2011" xfId="1937"/>
    <cellStyle name="T_Book1_phu luc tong ket tinh hinh TH giai doan 03-10 (ngay 30)_!1 1 bao cao giao KH ve HTCMT vung TNB   12-12-2011 2" xfId="1938"/>
    <cellStyle name="T_Book1_phu luc tong ket tinh hinh TH giai doan 03-10 (ngay 30)_KH TPCP vung TNB (03-1-2012)" xfId="1939"/>
    <cellStyle name="T_Book1_phu luc tong ket tinh hinh TH giai doan 03-10 (ngay 30)_KH TPCP vung TNB (03-1-2012) 2" xfId="1940"/>
    <cellStyle name="T_Book1_TN - Ho tro khac 2011" xfId="1959"/>
    <cellStyle name="T_Book1_TN - Ho tro khac 2011 2" xfId="1960"/>
    <cellStyle name="T_Book1_TN - Ho tro khac 2011_!1 1 bao cao giao KH ve HTCMT vung TNB   12-12-2011" xfId="1961"/>
    <cellStyle name="T_Book1_TN - Ho tro khac 2011_!1 1 bao cao giao KH ve HTCMT vung TNB   12-12-2011 2" xfId="1962"/>
    <cellStyle name="T_Book1_TN - Ho tro khac 2011_Bieu4HTMT" xfId="1963"/>
    <cellStyle name="T_Book1_TN - Ho tro khac 2011_Bieu4HTMT 2" xfId="1964"/>
    <cellStyle name="T_Book1_TN - Ho tro khac 2011_KH TPCP vung TNB (03-1-2012)" xfId="1965"/>
    <cellStyle name="T_Book1_TN - Ho tro khac 2011_KH TPCP vung TNB (03-1-2012) 2" xfId="1966"/>
    <cellStyle name="T_Book1_TH ung tren 70%-Ra soat phap ly-8-6 (dung de chuyen vao vu TH)" xfId="1941"/>
    <cellStyle name="T_Book1_TH ung tren 70%-Ra soat phap ly-8-6 (dung de chuyen vao vu TH) 2" xfId="1942"/>
    <cellStyle name="T_Book1_TH ung tren 70%-Ra soat phap ly-8-6 (dung de chuyen vao vu TH)_!1 1 bao cao giao KH ve HTCMT vung TNB   12-12-2011" xfId="1943"/>
    <cellStyle name="T_Book1_TH ung tren 70%-Ra soat phap ly-8-6 (dung de chuyen vao vu TH)_!1 1 bao cao giao KH ve HTCMT vung TNB   12-12-2011 2" xfId="1944"/>
    <cellStyle name="T_Book1_TH ung tren 70%-Ra soat phap ly-8-6 (dung de chuyen vao vu TH)_Bieu4HTMT" xfId="1945"/>
    <cellStyle name="T_Book1_TH ung tren 70%-Ra soat phap ly-8-6 (dung de chuyen vao vu TH)_Bieu4HTMT 2" xfId="1946"/>
    <cellStyle name="T_Book1_TH ung tren 70%-Ra soat phap ly-8-6 (dung de chuyen vao vu TH)_KH TPCP vung TNB (03-1-2012)" xfId="1947"/>
    <cellStyle name="T_Book1_TH ung tren 70%-Ra soat phap ly-8-6 (dung de chuyen vao vu TH)_KH TPCP vung TNB (03-1-2012) 2" xfId="1948"/>
    <cellStyle name="T_Book1_TH y kien LD_KH 2010 Ca Nuoc 22-9-2011-Gui ca Vu" xfId="1949"/>
    <cellStyle name="T_Book1_TH y kien LD_KH 2010 Ca Nuoc 22-9-2011-Gui ca Vu 2" xfId="1950"/>
    <cellStyle name="T_Book1_TH y kien LD_KH 2010 Ca Nuoc 22-9-2011-Gui ca Vu_!1 1 bao cao giao KH ve HTCMT vung TNB   12-12-2011" xfId="1951"/>
    <cellStyle name="T_Book1_TH y kien LD_KH 2010 Ca Nuoc 22-9-2011-Gui ca Vu_!1 1 bao cao giao KH ve HTCMT vung TNB   12-12-2011 2" xfId="1952"/>
    <cellStyle name="T_Book1_TH y kien LD_KH 2010 Ca Nuoc 22-9-2011-Gui ca Vu_Bieu4HTMT" xfId="1953"/>
    <cellStyle name="T_Book1_TH y kien LD_KH 2010 Ca Nuoc 22-9-2011-Gui ca Vu_Bieu4HTMT 2" xfId="1954"/>
    <cellStyle name="T_Book1_TH y kien LD_KH 2010 Ca Nuoc 22-9-2011-Gui ca Vu_KH TPCP vung TNB (03-1-2012)" xfId="1955"/>
    <cellStyle name="T_Book1_TH y kien LD_KH 2010 Ca Nuoc 22-9-2011-Gui ca Vu_KH TPCP vung TNB (03-1-2012) 2" xfId="1956"/>
    <cellStyle name="T_Book1_Thiet bi" xfId="1957"/>
    <cellStyle name="T_Book1_Thiet bi 2" xfId="1958"/>
    <cellStyle name="T_Book1_ung truoc 2011 NSTW Thanh Hoa + Nge An gui Thu 12-5" xfId="1967"/>
    <cellStyle name="T_Book1_ung truoc 2011 NSTW Thanh Hoa + Nge An gui Thu 12-5 2" xfId="1968"/>
    <cellStyle name="T_Book1_ung truoc 2011 NSTW Thanh Hoa + Nge An gui Thu 12-5_!1 1 bao cao giao KH ve HTCMT vung TNB   12-12-2011" xfId="1969"/>
    <cellStyle name="T_Book1_ung truoc 2011 NSTW Thanh Hoa + Nge An gui Thu 12-5_!1 1 bao cao giao KH ve HTCMT vung TNB   12-12-2011 2" xfId="1970"/>
    <cellStyle name="T_Book1_ung truoc 2011 NSTW Thanh Hoa + Nge An gui Thu 12-5_Bieu4HTMT" xfId="1971"/>
    <cellStyle name="T_Book1_ung truoc 2011 NSTW Thanh Hoa + Nge An gui Thu 12-5_Bieu4HTMT 2" xfId="1972"/>
    <cellStyle name="T_Book1_ung truoc 2011 NSTW Thanh Hoa + Nge An gui Thu 12-5_Bieu4HTMT_!1 1 bao cao giao KH ve HTCMT vung TNB   12-12-2011" xfId="1973"/>
    <cellStyle name="T_Book1_ung truoc 2011 NSTW Thanh Hoa + Nge An gui Thu 12-5_Bieu4HTMT_!1 1 bao cao giao KH ve HTCMT vung TNB   12-12-2011 2" xfId="1974"/>
    <cellStyle name="T_Book1_ung truoc 2011 NSTW Thanh Hoa + Nge An gui Thu 12-5_Bieu4HTMT_KH TPCP vung TNB (03-1-2012)" xfId="1975"/>
    <cellStyle name="T_Book1_ung truoc 2011 NSTW Thanh Hoa + Nge An gui Thu 12-5_Bieu4HTMT_KH TPCP vung TNB (03-1-2012) 2" xfId="1976"/>
    <cellStyle name="T_Book1_ung truoc 2011 NSTW Thanh Hoa + Nge An gui Thu 12-5_KH TPCP vung TNB (03-1-2012)" xfId="1977"/>
    <cellStyle name="T_Book1_ung truoc 2011 NSTW Thanh Hoa + Nge An gui Thu 12-5_KH TPCP vung TNB (03-1-2012) 2" xfId="1978"/>
    <cellStyle name="T_Book1_ÿÿÿÿÿ" xfId="1979"/>
    <cellStyle name="T_Book1_ÿÿÿÿÿ 2" xfId="1980"/>
    <cellStyle name="T_Copy of Bao cao  XDCB 7 thang nam 2008_So KH&amp;DT SUA" xfId="1987"/>
    <cellStyle name="T_Copy of Bao cao  XDCB 7 thang nam 2008_So KH&amp;DT SUA 2" xfId="1988"/>
    <cellStyle name="T_Copy of Bao cao  XDCB 7 thang nam 2008_So KH&amp;DT SUA_!1 1 bao cao giao KH ve HTCMT vung TNB   12-12-2011" xfId="1989"/>
    <cellStyle name="T_Copy of Bao cao  XDCB 7 thang nam 2008_So KH&amp;DT SUA_!1 1 bao cao giao KH ve HTCMT vung TNB   12-12-2011 2" xfId="1990"/>
    <cellStyle name="T_Copy of Bao cao  XDCB 7 thang nam 2008_So KH&amp;DT SUA_KH TPCP vung TNB (03-1-2012)" xfId="1991"/>
    <cellStyle name="T_Copy of Bao cao  XDCB 7 thang nam 2008_So KH&amp;DT SUA_KH TPCP vung TNB (03-1-2012) 2" xfId="1992"/>
    <cellStyle name="T_CPK" xfId="1993"/>
    <cellStyle name="T_CPK 2" xfId="1994"/>
    <cellStyle name="T_CPK_!1 1 bao cao giao KH ve HTCMT vung TNB   12-12-2011" xfId="1995"/>
    <cellStyle name="T_CPK_!1 1 bao cao giao KH ve HTCMT vung TNB   12-12-2011 2" xfId="1996"/>
    <cellStyle name="T_CPK_Bieu4HTMT" xfId="1997"/>
    <cellStyle name="T_CPK_Bieu4HTMT 2" xfId="1998"/>
    <cellStyle name="T_CPK_Bieu4HTMT_!1 1 bao cao giao KH ve HTCMT vung TNB   12-12-2011" xfId="1999"/>
    <cellStyle name="T_CPK_Bieu4HTMT_!1 1 bao cao giao KH ve HTCMT vung TNB   12-12-2011 2" xfId="2000"/>
    <cellStyle name="T_CPK_Bieu4HTMT_KH TPCP vung TNB (03-1-2012)" xfId="2001"/>
    <cellStyle name="T_CPK_Bieu4HTMT_KH TPCP vung TNB (03-1-2012) 2" xfId="2002"/>
    <cellStyle name="T_CPK_KH TPCP vung TNB (03-1-2012)" xfId="2003"/>
    <cellStyle name="T_CPK_KH TPCP vung TNB (03-1-2012) 2" xfId="2004"/>
    <cellStyle name="T_CTMTQG 2008" xfId="2005"/>
    <cellStyle name="T_CTMTQG 2008 2" xfId="2006"/>
    <cellStyle name="T_CTMTQG 2008_!1 1 bao cao giao KH ve HTCMT vung TNB   12-12-2011" xfId="2007"/>
    <cellStyle name="T_CTMTQG 2008_!1 1 bao cao giao KH ve HTCMT vung TNB   12-12-2011 2" xfId="2008"/>
    <cellStyle name="T_CTMTQG 2008_Bieu mau danh muc du an thuoc CTMTQG nam 2008" xfId="2009"/>
    <cellStyle name="T_CTMTQG 2008_Bieu mau danh muc du an thuoc CTMTQG nam 2008 2" xfId="2010"/>
    <cellStyle name="T_CTMTQG 2008_Bieu mau danh muc du an thuoc CTMTQG nam 2008_!1 1 bao cao giao KH ve HTCMT vung TNB   12-12-2011" xfId="2011"/>
    <cellStyle name="T_CTMTQG 2008_Bieu mau danh muc du an thuoc CTMTQG nam 2008_!1 1 bao cao giao KH ve HTCMT vung TNB   12-12-2011 2" xfId="2012"/>
    <cellStyle name="T_CTMTQG 2008_Bieu mau danh muc du an thuoc CTMTQG nam 2008_KH TPCP vung TNB (03-1-2012)" xfId="2013"/>
    <cellStyle name="T_CTMTQG 2008_Bieu mau danh muc du an thuoc CTMTQG nam 2008_KH TPCP vung TNB (03-1-2012) 2" xfId="2014"/>
    <cellStyle name="T_CTMTQG 2008_Hi-Tong hop KQ phan bo KH nam 08- LD fong giao 15-11-08" xfId="2015"/>
    <cellStyle name="T_CTMTQG 2008_Hi-Tong hop KQ phan bo KH nam 08- LD fong giao 15-11-08 2" xfId="2016"/>
    <cellStyle name="T_CTMTQG 2008_Hi-Tong hop KQ phan bo KH nam 08- LD fong giao 15-11-08_!1 1 bao cao giao KH ve HTCMT vung TNB   12-12-2011" xfId="2017"/>
    <cellStyle name="T_CTMTQG 2008_Hi-Tong hop KQ phan bo KH nam 08- LD fong giao 15-11-08_!1 1 bao cao giao KH ve HTCMT vung TNB   12-12-2011 2" xfId="2018"/>
    <cellStyle name="T_CTMTQG 2008_Hi-Tong hop KQ phan bo KH nam 08- LD fong giao 15-11-08_KH TPCP vung TNB (03-1-2012)" xfId="2019"/>
    <cellStyle name="T_CTMTQG 2008_Hi-Tong hop KQ phan bo KH nam 08- LD fong giao 15-11-08_KH TPCP vung TNB (03-1-2012) 2" xfId="2020"/>
    <cellStyle name="T_CTMTQG 2008_Ket qua thuc hien nam 2008" xfId="2021"/>
    <cellStyle name="T_CTMTQG 2008_Ket qua thuc hien nam 2008 2" xfId="2022"/>
    <cellStyle name="T_CTMTQG 2008_Ket qua thuc hien nam 2008_!1 1 bao cao giao KH ve HTCMT vung TNB   12-12-2011" xfId="2023"/>
    <cellStyle name="T_CTMTQG 2008_Ket qua thuc hien nam 2008_!1 1 bao cao giao KH ve HTCMT vung TNB   12-12-2011 2" xfId="2024"/>
    <cellStyle name="T_CTMTQG 2008_Ket qua thuc hien nam 2008_KH TPCP vung TNB (03-1-2012)" xfId="2025"/>
    <cellStyle name="T_CTMTQG 2008_Ket qua thuc hien nam 2008_KH TPCP vung TNB (03-1-2012) 2" xfId="2026"/>
    <cellStyle name="T_CTMTQG 2008_KH TPCP vung TNB (03-1-2012)" xfId="2027"/>
    <cellStyle name="T_CTMTQG 2008_KH TPCP vung TNB (03-1-2012) 2" xfId="2028"/>
    <cellStyle name="T_CTMTQG 2008_KH XDCB_2008 lan 1" xfId="2029"/>
    <cellStyle name="T_CTMTQG 2008_KH XDCB_2008 lan 1 2" xfId="2030"/>
    <cellStyle name="T_CTMTQG 2008_KH XDCB_2008 lan 1 sua ngay 27-10" xfId="2031"/>
    <cellStyle name="T_CTMTQG 2008_KH XDCB_2008 lan 1 sua ngay 27-10 2" xfId="2032"/>
    <cellStyle name="T_CTMTQG 2008_KH XDCB_2008 lan 1 sua ngay 27-10_!1 1 bao cao giao KH ve HTCMT vung TNB   12-12-2011" xfId="2033"/>
    <cellStyle name="T_CTMTQG 2008_KH XDCB_2008 lan 1 sua ngay 27-10_!1 1 bao cao giao KH ve HTCMT vung TNB   12-12-2011 2" xfId="2034"/>
    <cellStyle name="T_CTMTQG 2008_KH XDCB_2008 lan 1 sua ngay 27-10_KH TPCP vung TNB (03-1-2012)" xfId="2035"/>
    <cellStyle name="T_CTMTQG 2008_KH XDCB_2008 lan 1 sua ngay 27-10_KH TPCP vung TNB (03-1-2012) 2" xfId="2036"/>
    <cellStyle name="T_CTMTQG 2008_KH XDCB_2008 lan 1_!1 1 bao cao giao KH ve HTCMT vung TNB   12-12-2011" xfId="2037"/>
    <cellStyle name="T_CTMTQG 2008_KH XDCB_2008 lan 1_!1 1 bao cao giao KH ve HTCMT vung TNB   12-12-2011 2" xfId="2038"/>
    <cellStyle name="T_CTMTQG 2008_KH XDCB_2008 lan 1_KH TPCP vung TNB (03-1-2012)" xfId="2039"/>
    <cellStyle name="T_CTMTQG 2008_KH XDCB_2008 lan 1_KH TPCP vung TNB (03-1-2012) 2" xfId="2040"/>
    <cellStyle name="T_CTMTQG 2008_KH XDCB_2008 lan 2 sua ngay 10-11" xfId="2041"/>
    <cellStyle name="T_CTMTQG 2008_KH XDCB_2008 lan 2 sua ngay 10-11 2" xfId="2042"/>
    <cellStyle name="T_CTMTQG 2008_KH XDCB_2008 lan 2 sua ngay 10-11_!1 1 bao cao giao KH ve HTCMT vung TNB   12-12-2011" xfId="2043"/>
    <cellStyle name="T_CTMTQG 2008_KH XDCB_2008 lan 2 sua ngay 10-11_!1 1 bao cao giao KH ve HTCMT vung TNB   12-12-2011 2" xfId="2044"/>
    <cellStyle name="T_CTMTQG 2008_KH XDCB_2008 lan 2 sua ngay 10-11_KH TPCP vung TNB (03-1-2012)" xfId="2045"/>
    <cellStyle name="T_CTMTQG 2008_KH XDCB_2008 lan 2 sua ngay 10-11_KH TPCP vung TNB (03-1-2012) 2" xfId="2046"/>
    <cellStyle name="T_Chuan bi dau tu nam 2008" xfId="1981"/>
    <cellStyle name="T_Chuan bi dau tu nam 2008 2" xfId="1982"/>
    <cellStyle name="T_Chuan bi dau tu nam 2008_!1 1 bao cao giao KH ve HTCMT vung TNB   12-12-2011" xfId="1983"/>
    <cellStyle name="T_Chuan bi dau tu nam 2008_!1 1 bao cao giao KH ve HTCMT vung TNB   12-12-2011 2" xfId="1984"/>
    <cellStyle name="T_Chuan bi dau tu nam 2008_KH TPCP vung TNB (03-1-2012)" xfId="1985"/>
    <cellStyle name="T_Chuan bi dau tu nam 2008_KH TPCP vung TNB (03-1-2012) 2" xfId="1986"/>
    <cellStyle name="T_danh muc chuan bi dau tu 2011 ngay 07-6-2011" xfId="2047"/>
    <cellStyle name="T_danh muc chuan bi dau tu 2011 ngay 07-6-2011 2" xfId="2048"/>
    <cellStyle name="T_danh muc chuan bi dau tu 2011 ngay 07-6-2011_!1 1 bao cao giao KH ve HTCMT vung TNB   12-12-2011" xfId="2049"/>
    <cellStyle name="T_danh muc chuan bi dau tu 2011 ngay 07-6-2011_!1 1 bao cao giao KH ve HTCMT vung TNB   12-12-2011 2" xfId="2050"/>
    <cellStyle name="T_danh muc chuan bi dau tu 2011 ngay 07-6-2011_KH TPCP vung TNB (03-1-2012)" xfId="2051"/>
    <cellStyle name="T_danh muc chuan bi dau tu 2011 ngay 07-6-2011_KH TPCP vung TNB (03-1-2012) 2" xfId="2052"/>
    <cellStyle name="T_Danh muc pbo nguon von XSKT, XDCB nam 2009 chuyen qua nam 2010" xfId="2053"/>
    <cellStyle name="T_Danh muc pbo nguon von XSKT, XDCB nam 2009 chuyen qua nam 2010 2" xfId="2054"/>
    <cellStyle name="T_Danh muc pbo nguon von XSKT, XDCB nam 2009 chuyen qua nam 2010_!1 1 bao cao giao KH ve HTCMT vung TNB   12-12-2011" xfId="2055"/>
    <cellStyle name="T_Danh muc pbo nguon von XSKT, XDCB nam 2009 chuyen qua nam 2010_!1 1 bao cao giao KH ve HTCMT vung TNB   12-12-2011 2" xfId="2056"/>
    <cellStyle name="T_Danh muc pbo nguon von XSKT, XDCB nam 2009 chuyen qua nam 2010_KH TPCP vung TNB (03-1-2012)" xfId="2057"/>
    <cellStyle name="T_Danh muc pbo nguon von XSKT, XDCB nam 2009 chuyen qua nam 2010_KH TPCP vung TNB (03-1-2012) 2" xfId="2058"/>
    <cellStyle name="T_dieu chinh KH 2011 ngay 26-5-2011111" xfId="2059"/>
    <cellStyle name="T_dieu chinh KH 2011 ngay 26-5-2011111 2" xfId="2060"/>
    <cellStyle name="T_dieu chinh KH 2011 ngay 26-5-2011111_!1 1 bao cao giao KH ve HTCMT vung TNB   12-12-2011" xfId="2061"/>
    <cellStyle name="T_dieu chinh KH 2011 ngay 26-5-2011111_!1 1 bao cao giao KH ve HTCMT vung TNB   12-12-2011 2" xfId="2062"/>
    <cellStyle name="T_dieu chinh KH 2011 ngay 26-5-2011111_KH TPCP vung TNB (03-1-2012)" xfId="2063"/>
    <cellStyle name="T_dieu chinh KH 2011 ngay 26-5-2011111_KH TPCP vung TNB (03-1-2012) 2" xfId="2064"/>
    <cellStyle name="T_DS KCH PHAN BO VON NSDP NAM 2010" xfId="2065"/>
    <cellStyle name="T_DS KCH PHAN BO VON NSDP NAM 2010 2" xfId="2066"/>
    <cellStyle name="T_DS KCH PHAN BO VON NSDP NAM 2010_!1 1 bao cao giao KH ve HTCMT vung TNB   12-12-2011" xfId="2067"/>
    <cellStyle name="T_DS KCH PHAN BO VON NSDP NAM 2010_!1 1 bao cao giao KH ve HTCMT vung TNB   12-12-2011 2" xfId="2068"/>
    <cellStyle name="T_DS KCH PHAN BO VON NSDP NAM 2010_KH TPCP vung TNB (03-1-2012)" xfId="2069"/>
    <cellStyle name="T_DS KCH PHAN BO VON NSDP NAM 2010_KH TPCP vung TNB (03-1-2012) 2" xfId="2070"/>
    <cellStyle name="T_Du an khoi cong moi nam 2010" xfId="2071"/>
    <cellStyle name="T_Du an khoi cong moi nam 2010 2" xfId="2072"/>
    <cellStyle name="T_Du an khoi cong moi nam 2010_!1 1 bao cao giao KH ve HTCMT vung TNB   12-12-2011" xfId="2073"/>
    <cellStyle name="T_Du an khoi cong moi nam 2010_!1 1 bao cao giao KH ve HTCMT vung TNB   12-12-2011 2" xfId="2074"/>
    <cellStyle name="T_Du an khoi cong moi nam 2010_KH TPCP vung TNB (03-1-2012)" xfId="2075"/>
    <cellStyle name="T_Du an khoi cong moi nam 2010_KH TPCP vung TNB (03-1-2012) 2" xfId="2076"/>
    <cellStyle name="T_DU AN TKQH VA CHUAN BI DAU TU NAM 2007 sua ngay 9-11" xfId="2077"/>
    <cellStyle name="T_DU AN TKQH VA CHUAN BI DAU TU NAM 2007 sua ngay 9-11 2" xfId="2078"/>
    <cellStyle name="T_DU AN TKQH VA CHUAN BI DAU TU NAM 2007 sua ngay 9-11_!1 1 bao cao giao KH ve HTCMT vung TNB   12-12-2011" xfId="2079"/>
    <cellStyle name="T_DU AN TKQH VA CHUAN BI DAU TU NAM 2007 sua ngay 9-11_!1 1 bao cao giao KH ve HTCMT vung TNB   12-12-2011 2" xfId="2080"/>
    <cellStyle name="T_DU AN TKQH VA CHUAN BI DAU TU NAM 2007 sua ngay 9-11_Bieu mau danh muc du an thuoc CTMTQG nam 2008" xfId="2081"/>
    <cellStyle name="T_DU AN TKQH VA CHUAN BI DAU TU NAM 2007 sua ngay 9-11_Bieu mau danh muc du an thuoc CTMTQG nam 2008 2" xfId="2082"/>
    <cellStyle name="T_DU AN TKQH VA CHUAN BI DAU TU NAM 2007 sua ngay 9-11_Bieu mau danh muc du an thuoc CTMTQG nam 2008_!1 1 bao cao giao KH ve HTCMT vung TNB   12-12-2011" xfId="2083"/>
    <cellStyle name="T_DU AN TKQH VA CHUAN BI DAU TU NAM 2007 sua ngay 9-11_Bieu mau danh muc du an thuoc CTMTQG nam 2008_!1 1 bao cao giao KH ve HTCMT vung TNB   12-12-2011 2" xfId="2084"/>
    <cellStyle name="T_DU AN TKQH VA CHUAN BI DAU TU NAM 2007 sua ngay 9-11_Bieu mau danh muc du an thuoc CTMTQG nam 2008_KH TPCP vung TNB (03-1-2012)" xfId="2085"/>
    <cellStyle name="T_DU AN TKQH VA CHUAN BI DAU TU NAM 2007 sua ngay 9-11_Bieu mau danh muc du an thuoc CTMTQG nam 2008_KH TPCP vung TNB (03-1-2012) 2" xfId="2086"/>
    <cellStyle name="T_DU AN TKQH VA CHUAN BI DAU TU NAM 2007 sua ngay 9-11_Du an khoi cong moi nam 2010" xfId="2087"/>
    <cellStyle name="T_DU AN TKQH VA CHUAN BI DAU TU NAM 2007 sua ngay 9-11_Du an khoi cong moi nam 2010 2" xfId="2088"/>
    <cellStyle name="T_DU AN TKQH VA CHUAN BI DAU TU NAM 2007 sua ngay 9-11_Du an khoi cong moi nam 2010_!1 1 bao cao giao KH ve HTCMT vung TNB   12-12-2011" xfId="2089"/>
    <cellStyle name="T_DU AN TKQH VA CHUAN BI DAU TU NAM 2007 sua ngay 9-11_Du an khoi cong moi nam 2010_!1 1 bao cao giao KH ve HTCMT vung TNB   12-12-2011 2" xfId="2090"/>
    <cellStyle name="T_DU AN TKQH VA CHUAN BI DAU TU NAM 2007 sua ngay 9-11_Du an khoi cong moi nam 2010_KH TPCP vung TNB (03-1-2012)" xfId="2091"/>
    <cellStyle name="T_DU AN TKQH VA CHUAN BI DAU TU NAM 2007 sua ngay 9-11_Du an khoi cong moi nam 2010_KH TPCP vung TNB (03-1-2012) 2" xfId="2092"/>
    <cellStyle name="T_DU AN TKQH VA CHUAN BI DAU TU NAM 2007 sua ngay 9-11_Ket qua phan bo von nam 2008" xfId="2093"/>
    <cellStyle name="T_DU AN TKQH VA CHUAN BI DAU TU NAM 2007 sua ngay 9-11_Ket qua phan bo von nam 2008 2" xfId="2094"/>
    <cellStyle name="T_DU AN TKQH VA CHUAN BI DAU TU NAM 2007 sua ngay 9-11_Ket qua phan bo von nam 2008_!1 1 bao cao giao KH ve HTCMT vung TNB   12-12-2011" xfId="2095"/>
    <cellStyle name="T_DU AN TKQH VA CHUAN BI DAU TU NAM 2007 sua ngay 9-11_Ket qua phan bo von nam 2008_!1 1 bao cao giao KH ve HTCMT vung TNB   12-12-2011 2" xfId="2096"/>
    <cellStyle name="T_DU AN TKQH VA CHUAN BI DAU TU NAM 2007 sua ngay 9-11_Ket qua phan bo von nam 2008_KH TPCP vung TNB (03-1-2012)" xfId="2097"/>
    <cellStyle name="T_DU AN TKQH VA CHUAN BI DAU TU NAM 2007 sua ngay 9-11_Ket qua phan bo von nam 2008_KH TPCP vung TNB (03-1-2012) 2" xfId="2098"/>
    <cellStyle name="T_DU AN TKQH VA CHUAN BI DAU TU NAM 2007 sua ngay 9-11_KH TPCP vung TNB (03-1-2012)" xfId="2099"/>
    <cellStyle name="T_DU AN TKQH VA CHUAN BI DAU TU NAM 2007 sua ngay 9-11_KH TPCP vung TNB (03-1-2012) 2" xfId="2100"/>
    <cellStyle name="T_DU AN TKQH VA CHUAN BI DAU TU NAM 2007 sua ngay 9-11_KH XDCB_2008 lan 2 sua ngay 10-11" xfId="2101"/>
    <cellStyle name="T_DU AN TKQH VA CHUAN BI DAU TU NAM 2007 sua ngay 9-11_KH XDCB_2008 lan 2 sua ngay 10-11 2" xfId="2102"/>
    <cellStyle name="T_DU AN TKQH VA CHUAN BI DAU TU NAM 2007 sua ngay 9-11_KH XDCB_2008 lan 2 sua ngay 10-11_!1 1 bao cao giao KH ve HTCMT vung TNB   12-12-2011" xfId="2103"/>
    <cellStyle name="T_DU AN TKQH VA CHUAN BI DAU TU NAM 2007 sua ngay 9-11_KH XDCB_2008 lan 2 sua ngay 10-11_!1 1 bao cao giao KH ve HTCMT vung TNB   12-12-2011 2" xfId="2104"/>
    <cellStyle name="T_DU AN TKQH VA CHUAN BI DAU TU NAM 2007 sua ngay 9-11_KH XDCB_2008 lan 2 sua ngay 10-11_KH TPCP vung TNB (03-1-2012)" xfId="2105"/>
    <cellStyle name="T_DU AN TKQH VA CHUAN BI DAU TU NAM 2007 sua ngay 9-11_KH XDCB_2008 lan 2 sua ngay 10-11_KH TPCP vung TNB (03-1-2012) 2" xfId="2106"/>
    <cellStyle name="T_du toan dieu chinh  20-8-2006" xfId="2107"/>
    <cellStyle name="T_du toan dieu chinh  20-8-2006 2" xfId="2108"/>
    <cellStyle name="T_du toan dieu chinh  20-8-2006_!1 1 bao cao giao KH ve HTCMT vung TNB   12-12-2011" xfId="2109"/>
    <cellStyle name="T_du toan dieu chinh  20-8-2006_!1 1 bao cao giao KH ve HTCMT vung TNB   12-12-2011 2" xfId="2110"/>
    <cellStyle name="T_du toan dieu chinh  20-8-2006_Bieu4HTMT" xfId="2111"/>
    <cellStyle name="T_du toan dieu chinh  20-8-2006_Bieu4HTMT 2" xfId="2112"/>
    <cellStyle name="T_du toan dieu chinh  20-8-2006_Bieu4HTMT_!1 1 bao cao giao KH ve HTCMT vung TNB   12-12-2011" xfId="2113"/>
    <cellStyle name="T_du toan dieu chinh  20-8-2006_Bieu4HTMT_!1 1 bao cao giao KH ve HTCMT vung TNB   12-12-2011 2" xfId="2114"/>
    <cellStyle name="T_du toan dieu chinh  20-8-2006_Bieu4HTMT_KH TPCP vung TNB (03-1-2012)" xfId="2115"/>
    <cellStyle name="T_du toan dieu chinh  20-8-2006_Bieu4HTMT_KH TPCP vung TNB (03-1-2012) 2" xfId="2116"/>
    <cellStyle name="T_du toan dieu chinh  20-8-2006_KH TPCP vung TNB (03-1-2012)" xfId="2117"/>
    <cellStyle name="T_du toan dieu chinh  20-8-2006_KH TPCP vung TNB (03-1-2012) 2" xfId="2118"/>
    <cellStyle name="T_giao KH 2011 ngay 10-12-2010" xfId="2119"/>
    <cellStyle name="T_giao KH 2011 ngay 10-12-2010 2" xfId="2120"/>
    <cellStyle name="T_giao KH 2011 ngay 10-12-2010_!1 1 bao cao giao KH ve HTCMT vung TNB   12-12-2011" xfId="2121"/>
    <cellStyle name="T_giao KH 2011 ngay 10-12-2010_!1 1 bao cao giao KH ve HTCMT vung TNB   12-12-2011 2" xfId="2122"/>
    <cellStyle name="T_giao KH 2011 ngay 10-12-2010_KH TPCP vung TNB (03-1-2012)" xfId="2123"/>
    <cellStyle name="T_giao KH 2011 ngay 10-12-2010_KH TPCP vung TNB (03-1-2012) 2" xfId="2124"/>
    <cellStyle name="T_Ht-PTq1-03" xfId="2125"/>
    <cellStyle name="T_Ht-PTq1-03 2" xfId="2126"/>
    <cellStyle name="T_Ht-PTq1-03_!1 1 bao cao giao KH ve HTCMT vung TNB   12-12-2011" xfId="2127"/>
    <cellStyle name="T_Ht-PTq1-03_!1 1 bao cao giao KH ve HTCMT vung TNB   12-12-2011 2" xfId="2128"/>
    <cellStyle name="T_Ht-PTq1-03_kien giang 2" xfId="2129"/>
    <cellStyle name="T_Ht-PTq1-03_kien giang 2 2" xfId="2130"/>
    <cellStyle name="T_Ke hoach KTXH  nam 2009_PKT thang 11 nam 2008" xfId="2131"/>
    <cellStyle name="T_Ke hoach KTXH  nam 2009_PKT thang 11 nam 2008 2" xfId="2132"/>
    <cellStyle name="T_Ke hoach KTXH  nam 2009_PKT thang 11 nam 2008_!1 1 bao cao giao KH ve HTCMT vung TNB   12-12-2011" xfId="2133"/>
    <cellStyle name="T_Ke hoach KTXH  nam 2009_PKT thang 11 nam 2008_!1 1 bao cao giao KH ve HTCMT vung TNB   12-12-2011 2" xfId="2134"/>
    <cellStyle name="T_Ke hoach KTXH  nam 2009_PKT thang 11 nam 2008_KH TPCP vung TNB (03-1-2012)" xfId="2135"/>
    <cellStyle name="T_Ke hoach KTXH  nam 2009_PKT thang 11 nam 2008_KH TPCP vung TNB (03-1-2012) 2" xfId="2136"/>
    <cellStyle name="T_Ket qua dau thau" xfId="2137"/>
    <cellStyle name="T_Ket qua dau thau 2" xfId="2138"/>
    <cellStyle name="T_Ket qua dau thau_!1 1 bao cao giao KH ve HTCMT vung TNB   12-12-2011" xfId="2139"/>
    <cellStyle name="T_Ket qua dau thau_!1 1 bao cao giao KH ve HTCMT vung TNB   12-12-2011 2" xfId="2140"/>
    <cellStyle name="T_Ket qua dau thau_KH TPCP vung TNB (03-1-2012)" xfId="2141"/>
    <cellStyle name="T_Ket qua dau thau_KH TPCP vung TNB (03-1-2012) 2" xfId="2142"/>
    <cellStyle name="T_Ket qua phan bo von nam 2008" xfId="2143"/>
    <cellStyle name="T_Ket qua phan bo von nam 2008 2" xfId="2144"/>
    <cellStyle name="T_Ket qua phan bo von nam 2008_!1 1 bao cao giao KH ve HTCMT vung TNB   12-12-2011" xfId="2145"/>
    <cellStyle name="T_Ket qua phan bo von nam 2008_!1 1 bao cao giao KH ve HTCMT vung TNB   12-12-2011 2" xfId="2146"/>
    <cellStyle name="T_Ket qua phan bo von nam 2008_KH TPCP vung TNB (03-1-2012)" xfId="2147"/>
    <cellStyle name="T_Ket qua phan bo von nam 2008_KH TPCP vung TNB (03-1-2012) 2" xfId="2148"/>
    <cellStyle name="T_kien giang 2" xfId="2157"/>
    <cellStyle name="T_kien giang 2 2" xfId="2158"/>
    <cellStyle name="T_KH TPCP vung TNB (03-1-2012)" xfId="2149"/>
    <cellStyle name="T_KH TPCP vung TNB (03-1-2012) 2" xfId="2150"/>
    <cellStyle name="T_KH XDCB_2008 lan 2 sua ngay 10-11" xfId="2151"/>
    <cellStyle name="T_KH XDCB_2008 lan 2 sua ngay 10-11 2" xfId="2152"/>
    <cellStyle name="T_KH XDCB_2008 lan 2 sua ngay 10-11_!1 1 bao cao giao KH ve HTCMT vung TNB   12-12-2011" xfId="2153"/>
    <cellStyle name="T_KH XDCB_2008 lan 2 sua ngay 10-11_!1 1 bao cao giao KH ve HTCMT vung TNB   12-12-2011 2" xfId="2154"/>
    <cellStyle name="T_KH XDCB_2008 lan 2 sua ngay 10-11_KH TPCP vung TNB (03-1-2012)" xfId="2155"/>
    <cellStyle name="T_KH XDCB_2008 lan 2 sua ngay 10-11_KH TPCP vung TNB (03-1-2012) 2" xfId="2156"/>
    <cellStyle name="T_Me_Tri_6_07" xfId="2159"/>
    <cellStyle name="T_Me_Tri_6_07 2" xfId="2160"/>
    <cellStyle name="T_Me_Tri_6_07_!1 1 bao cao giao KH ve HTCMT vung TNB   12-12-2011" xfId="2161"/>
    <cellStyle name="T_Me_Tri_6_07_!1 1 bao cao giao KH ve HTCMT vung TNB   12-12-2011 2" xfId="2162"/>
    <cellStyle name="T_Me_Tri_6_07_Bieu4HTMT" xfId="2163"/>
    <cellStyle name="T_Me_Tri_6_07_Bieu4HTMT 2" xfId="2164"/>
    <cellStyle name="T_Me_Tri_6_07_Bieu4HTMT_!1 1 bao cao giao KH ve HTCMT vung TNB   12-12-2011" xfId="2165"/>
    <cellStyle name="T_Me_Tri_6_07_Bieu4HTMT_!1 1 bao cao giao KH ve HTCMT vung TNB   12-12-2011 2" xfId="2166"/>
    <cellStyle name="T_Me_Tri_6_07_Bieu4HTMT_KH TPCP vung TNB (03-1-2012)" xfId="2167"/>
    <cellStyle name="T_Me_Tri_6_07_Bieu4HTMT_KH TPCP vung TNB (03-1-2012) 2" xfId="2168"/>
    <cellStyle name="T_Me_Tri_6_07_KH TPCP vung TNB (03-1-2012)" xfId="2169"/>
    <cellStyle name="T_Me_Tri_6_07_KH TPCP vung TNB (03-1-2012) 2" xfId="2170"/>
    <cellStyle name="T_N2 thay dat (N1-1)" xfId="2171"/>
    <cellStyle name="T_N2 thay dat (N1-1) 2" xfId="2172"/>
    <cellStyle name="T_N2 thay dat (N1-1)_!1 1 bao cao giao KH ve HTCMT vung TNB   12-12-2011" xfId="2173"/>
    <cellStyle name="T_N2 thay dat (N1-1)_!1 1 bao cao giao KH ve HTCMT vung TNB   12-12-2011 2" xfId="2174"/>
    <cellStyle name="T_N2 thay dat (N1-1)_Bieu4HTMT" xfId="2175"/>
    <cellStyle name="T_N2 thay dat (N1-1)_Bieu4HTMT 2" xfId="2176"/>
    <cellStyle name="T_N2 thay dat (N1-1)_Bieu4HTMT_!1 1 bao cao giao KH ve HTCMT vung TNB   12-12-2011" xfId="2177"/>
    <cellStyle name="T_N2 thay dat (N1-1)_Bieu4HTMT_!1 1 bao cao giao KH ve HTCMT vung TNB   12-12-2011 2" xfId="2178"/>
    <cellStyle name="T_N2 thay dat (N1-1)_Bieu4HTMT_KH TPCP vung TNB (03-1-2012)" xfId="2179"/>
    <cellStyle name="T_N2 thay dat (N1-1)_Bieu4HTMT_KH TPCP vung TNB (03-1-2012) 2" xfId="2180"/>
    <cellStyle name="T_N2 thay dat (N1-1)_KH TPCP vung TNB (03-1-2012)" xfId="2181"/>
    <cellStyle name="T_N2 thay dat (N1-1)_KH TPCP vung TNB (03-1-2012) 2" xfId="2182"/>
    <cellStyle name="T_Phuong an can doi nam 2008" xfId="2183"/>
    <cellStyle name="T_Phuong an can doi nam 2008 2" xfId="2184"/>
    <cellStyle name="T_Phuong an can doi nam 2008_!1 1 bao cao giao KH ve HTCMT vung TNB   12-12-2011" xfId="2185"/>
    <cellStyle name="T_Phuong an can doi nam 2008_!1 1 bao cao giao KH ve HTCMT vung TNB   12-12-2011 2" xfId="2186"/>
    <cellStyle name="T_Phuong an can doi nam 2008_KH TPCP vung TNB (03-1-2012)" xfId="2187"/>
    <cellStyle name="T_Phuong an can doi nam 2008_KH TPCP vung TNB (03-1-2012) 2" xfId="2188"/>
    <cellStyle name="T_Seagame(BTL)" xfId="2189"/>
    <cellStyle name="T_Seagame(BTL) 2" xfId="2190"/>
    <cellStyle name="T_So GTVT" xfId="2191"/>
    <cellStyle name="T_So GTVT 2" xfId="2192"/>
    <cellStyle name="T_So GTVT_!1 1 bao cao giao KH ve HTCMT vung TNB   12-12-2011" xfId="2193"/>
    <cellStyle name="T_So GTVT_!1 1 bao cao giao KH ve HTCMT vung TNB   12-12-2011 2" xfId="2194"/>
    <cellStyle name="T_So GTVT_KH TPCP vung TNB (03-1-2012)" xfId="2195"/>
    <cellStyle name="T_So GTVT_KH TPCP vung TNB (03-1-2012) 2" xfId="2196"/>
    <cellStyle name="T_TDT + duong(8-5-07)" xfId="2197"/>
    <cellStyle name="T_TDT + duong(8-5-07) 2" xfId="2198"/>
    <cellStyle name="T_TDT + duong(8-5-07)_!1 1 bao cao giao KH ve HTCMT vung TNB   12-12-2011" xfId="2199"/>
    <cellStyle name="T_TDT + duong(8-5-07)_!1 1 bao cao giao KH ve HTCMT vung TNB   12-12-2011 2" xfId="2200"/>
    <cellStyle name="T_TDT + duong(8-5-07)_Bieu4HTMT" xfId="2201"/>
    <cellStyle name="T_TDT + duong(8-5-07)_Bieu4HTMT 2" xfId="2202"/>
    <cellStyle name="T_TDT + duong(8-5-07)_Bieu4HTMT_!1 1 bao cao giao KH ve HTCMT vung TNB   12-12-2011" xfId="2203"/>
    <cellStyle name="T_TDT + duong(8-5-07)_Bieu4HTMT_!1 1 bao cao giao KH ve HTCMT vung TNB   12-12-2011 2" xfId="2204"/>
    <cellStyle name="T_TDT + duong(8-5-07)_Bieu4HTMT_KH TPCP vung TNB (03-1-2012)" xfId="2205"/>
    <cellStyle name="T_TDT + duong(8-5-07)_Bieu4HTMT_KH TPCP vung TNB (03-1-2012) 2" xfId="2206"/>
    <cellStyle name="T_TDT + duong(8-5-07)_KH TPCP vung TNB (03-1-2012)" xfId="2207"/>
    <cellStyle name="T_TDT + duong(8-5-07)_KH TPCP vung TNB (03-1-2012) 2" xfId="2208"/>
    <cellStyle name="T_TK_HT" xfId="2233"/>
    <cellStyle name="T_TK_HT 2" xfId="2234"/>
    <cellStyle name="T_tham_tra_du_toan" xfId="2209"/>
    <cellStyle name="T_tham_tra_du_toan 2" xfId="2210"/>
    <cellStyle name="T_tham_tra_du_toan_!1 1 bao cao giao KH ve HTCMT vung TNB   12-12-2011" xfId="2211"/>
    <cellStyle name="T_tham_tra_du_toan_!1 1 bao cao giao KH ve HTCMT vung TNB   12-12-2011 2" xfId="2212"/>
    <cellStyle name="T_tham_tra_du_toan_Bieu4HTMT" xfId="2213"/>
    <cellStyle name="T_tham_tra_du_toan_Bieu4HTMT 2" xfId="2214"/>
    <cellStyle name="T_tham_tra_du_toan_Bieu4HTMT_!1 1 bao cao giao KH ve HTCMT vung TNB   12-12-2011" xfId="2215"/>
    <cellStyle name="T_tham_tra_du_toan_Bieu4HTMT_!1 1 bao cao giao KH ve HTCMT vung TNB   12-12-2011 2" xfId="2216"/>
    <cellStyle name="T_tham_tra_du_toan_Bieu4HTMT_KH TPCP vung TNB (03-1-2012)" xfId="2217"/>
    <cellStyle name="T_tham_tra_du_toan_Bieu4HTMT_KH TPCP vung TNB (03-1-2012) 2" xfId="2218"/>
    <cellStyle name="T_tham_tra_du_toan_KH TPCP vung TNB (03-1-2012)" xfId="2219"/>
    <cellStyle name="T_tham_tra_du_toan_KH TPCP vung TNB (03-1-2012) 2" xfId="2220"/>
    <cellStyle name="T_Thiet bi" xfId="2221"/>
    <cellStyle name="T_Thiet bi 2" xfId="2222"/>
    <cellStyle name="T_Thiet bi_!1 1 bao cao giao KH ve HTCMT vung TNB   12-12-2011" xfId="2223"/>
    <cellStyle name="T_Thiet bi_!1 1 bao cao giao KH ve HTCMT vung TNB   12-12-2011 2" xfId="2224"/>
    <cellStyle name="T_Thiet bi_Bieu4HTMT" xfId="2225"/>
    <cellStyle name="T_Thiet bi_Bieu4HTMT 2" xfId="2226"/>
    <cellStyle name="T_Thiet bi_Bieu4HTMT_!1 1 bao cao giao KH ve HTCMT vung TNB   12-12-2011" xfId="2227"/>
    <cellStyle name="T_Thiet bi_Bieu4HTMT_!1 1 bao cao giao KH ve HTCMT vung TNB   12-12-2011 2" xfId="2228"/>
    <cellStyle name="T_Thiet bi_Bieu4HTMT_KH TPCP vung TNB (03-1-2012)" xfId="2229"/>
    <cellStyle name="T_Thiet bi_Bieu4HTMT_KH TPCP vung TNB (03-1-2012) 2" xfId="2230"/>
    <cellStyle name="T_Thiet bi_KH TPCP vung TNB (03-1-2012)" xfId="2231"/>
    <cellStyle name="T_Thiet bi_KH TPCP vung TNB (03-1-2012) 2" xfId="2232"/>
    <cellStyle name="T_XDCB thang 12.2010" xfId="2235"/>
    <cellStyle name="T_XDCB thang 12.2010 2" xfId="2236"/>
    <cellStyle name="T_XDCB thang 12.2010_!1 1 bao cao giao KH ve HTCMT vung TNB   12-12-2011" xfId="2237"/>
    <cellStyle name="T_XDCB thang 12.2010_!1 1 bao cao giao KH ve HTCMT vung TNB   12-12-2011 2" xfId="2238"/>
    <cellStyle name="T_XDCB thang 12.2010_KH TPCP vung TNB (03-1-2012)" xfId="2239"/>
    <cellStyle name="T_XDCB thang 12.2010_KH TPCP vung TNB (03-1-2012) 2" xfId="2240"/>
    <cellStyle name="T_ÿÿÿÿÿ" xfId="2241"/>
    <cellStyle name="T_ÿÿÿÿÿ 2" xfId="2242"/>
    <cellStyle name="T_ÿÿÿÿÿ_!1 1 bao cao giao KH ve HTCMT vung TNB   12-12-2011" xfId="2243"/>
    <cellStyle name="T_ÿÿÿÿÿ_!1 1 bao cao giao KH ve HTCMT vung TNB   12-12-2011 2" xfId="2244"/>
    <cellStyle name="T_ÿÿÿÿÿ_Bieu mau cong trinh khoi cong moi 3-4" xfId="2245"/>
    <cellStyle name="T_ÿÿÿÿÿ_Bieu mau cong trinh khoi cong moi 3-4 2" xfId="2246"/>
    <cellStyle name="T_ÿÿÿÿÿ_Bieu mau cong trinh khoi cong moi 3-4_!1 1 bao cao giao KH ve HTCMT vung TNB   12-12-2011" xfId="2247"/>
    <cellStyle name="T_ÿÿÿÿÿ_Bieu mau cong trinh khoi cong moi 3-4_!1 1 bao cao giao KH ve HTCMT vung TNB   12-12-2011 2" xfId="2248"/>
    <cellStyle name="T_ÿÿÿÿÿ_Bieu mau cong trinh khoi cong moi 3-4_KH TPCP vung TNB (03-1-2012)" xfId="2249"/>
    <cellStyle name="T_ÿÿÿÿÿ_Bieu mau cong trinh khoi cong moi 3-4_KH TPCP vung TNB (03-1-2012) 2" xfId="2250"/>
    <cellStyle name="T_ÿÿÿÿÿ_Bieu3ODA" xfId="2251"/>
    <cellStyle name="T_ÿÿÿÿÿ_Bieu3ODA 2" xfId="2252"/>
    <cellStyle name="T_ÿÿÿÿÿ_Bieu3ODA_!1 1 bao cao giao KH ve HTCMT vung TNB   12-12-2011" xfId="2253"/>
    <cellStyle name="T_ÿÿÿÿÿ_Bieu3ODA_!1 1 bao cao giao KH ve HTCMT vung TNB   12-12-2011 2" xfId="2254"/>
    <cellStyle name="T_ÿÿÿÿÿ_Bieu3ODA_KH TPCP vung TNB (03-1-2012)" xfId="2255"/>
    <cellStyle name="T_ÿÿÿÿÿ_Bieu3ODA_KH TPCP vung TNB (03-1-2012) 2" xfId="2256"/>
    <cellStyle name="T_ÿÿÿÿÿ_Bieu4HTMT" xfId="2257"/>
    <cellStyle name="T_ÿÿÿÿÿ_Bieu4HTMT 2" xfId="2258"/>
    <cellStyle name="T_ÿÿÿÿÿ_Bieu4HTMT_!1 1 bao cao giao KH ve HTCMT vung TNB   12-12-2011" xfId="2259"/>
    <cellStyle name="T_ÿÿÿÿÿ_Bieu4HTMT_!1 1 bao cao giao KH ve HTCMT vung TNB   12-12-2011 2" xfId="2260"/>
    <cellStyle name="T_ÿÿÿÿÿ_Bieu4HTMT_KH TPCP vung TNB (03-1-2012)" xfId="2261"/>
    <cellStyle name="T_ÿÿÿÿÿ_Bieu4HTMT_KH TPCP vung TNB (03-1-2012) 2" xfId="2262"/>
    <cellStyle name="T_ÿÿÿÿÿ_kien giang 2" xfId="2265"/>
    <cellStyle name="T_ÿÿÿÿÿ_kien giang 2 2" xfId="2266"/>
    <cellStyle name="T_ÿÿÿÿÿ_KH TPCP vung TNB (03-1-2012)" xfId="2263"/>
    <cellStyle name="T_ÿÿÿÿÿ_KH TPCP vung TNB (03-1-2012) 2" xfId="2264"/>
    <cellStyle name="Text Indent A" xfId="2267"/>
    <cellStyle name="Text Indent B" xfId="2268"/>
    <cellStyle name="Text Indent C" xfId="2269"/>
    <cellStyle name="Tien1" xfId="2285"/>
    <cellStyle name="Tieu_de_2" xfId="2286"/>
    <cellStyle name="Times New Roman" xfId="2287"/>
    <cellStyle name="tit1" xfId="2288"/>
    <cellStyle name="tit2" xfId="2289"/>
    <cellStyle name="tit2 2" xfId="2290"/>
    <cellStyle name="tit3" xfId="2291"/>
    <cellStyle name="tit4" xfId="2292"/>
    <cellStyle name="Tong so" xfId="2293"/>
    <cellStyle name="tong so 1" xfId="2294"/>
    <cellStyle name="Tongcong" xfId="2295"/>
    <cellStyle name="tt1" xfId="2297"/>
    <cellStyle name="Tusental (0)_pldt" xfId="2298"/>
    <cellStyle name="Tusental_pldt" xfId="2299"/>
    <cellStyle name="th" xfId="2270"/>
    <cellStyle name="th 2" xfId="2271"/>
    <cellStyle name="þ_x005f_x001d_ð¤_x005f_x000c_¯þ_x005f_x0014__x005f_x000d_¨þU_x005f_x0001_À_x005f_x0004_ _x005f_x0015__x005f_x000f__x005f_x0001__x005f_x0001_" xfId="2272"/>
    <cellStyle name="þ_x005f_x001d_ð·_x005f_x000c_æþ'_x005f_x000d_ßþU_x005f_x0001_Ø_x005f_x0005_ü_x005f_x0014__x005f_x0007__x005f_x0001__x005f_x0001_" xfId="2273"/>
    <cellStyle name="þ_x005f_x001d_ðÇ%Uý—&amp;Hý9_x005f_x0008_Ÿ s_x005f_x000a__x005f_x0007__x005f_x0001__x005f_x0001_" xfId="2274"/>
    <cellStyle name="þ_x005f_x001d_ðK_x005f_x000c_Fý_x005f_x001b__x005f_x000d_9ýU_x005f_x0001_Ð_x005f_x0008_¦)_x005f_x0007__x005f_x0001__x005f_x0001_" xfId="2275"/>
    <cellStyle name="than" xfId="2276"/>
    <cellStyle name="þ_x001d_ð¤_x000c_¯þ_x0014__x000d_¨þU_x0001_À_x0004_ _x0015__x000f__x0001__x0001_" xfId="2277"/>
    <cellStyle name="þ_x001d_ð·_x000c_æþ'_x000d_ßþU_x0001_Ø_x0005_ü_x0014__x0007__x0001__x0001_" xfId="2278"/>
    <cellStyle name="þ_x001d_ðÇ%Uý—&amp;Hý9_x0008_Ÿ s_x000a__x0007__x0001__x0001_" xfId="2279"/>
    <cellStyle name="þ_x001d_ðK_x000c_Fý_x001b__x000d_9ýU_x0001_Ð_x0008_¦)_x0007__x0001__x0001_" xfId="2280"/>
    <cellStyle name="thuong-10" xfId="2281"/>
    <cellStyle name="thuong-11" xfId="2282"/>
    <cellStyle name="thuong-11 2" xfId="2283"/>
    <cellStyle name="Thuyet minh" xfId="2284"/>
    <cellStyle name="trang" xfId="2296"/>
    <cellStyle name="ux_3_¼­¿ï-¾È»ê" xfId="2300"/>
    <cellStyle name="Valuta (0)_pldt" xfId="2301"/>
    <cellStyle name="Valuta_pldt" xfId="2302"/>
    <cellStyle name="VANG1" xfId="2303"/>
    <cellStyle name="VANG1 2" xfId="2304"/>
    <cellStyle name="viet" xfId="2305"/>
    <cellStyle name="viet2" xfId="2306"/>
    <cellStyle name="viet2 2" xfId="2307"/>
    <cellStyle name="VN new romanNormal" xfId="2308"/>
    <cellStyle name="VN new romanNormal 2" xfId="2309"/>
    <cellStyle name="Vn Time 13" xfId="2310"/>
    <cellStyle name="Vn Time 14" xfId="2311"/>
    <cellStyle name="VN time new roman" xfId="2312"/>
    <cellStyle name="VN time new roman 2" xfId="2313"/>
    <cellStyle name="vnbo" xfId="2314"/>
    <cellStyle name="vnbo 2" xfId="2315"/>
    <cellStyle name="vntxt1" xfId="2323"/>
    <cellStyle name="vntxt2" xfId="2324"/>
    <cellStyle name="vnhead1" xfId="2316"/>
    <cellStyle name="vnhead1 2" xfId="2317"/>
    <cellStyle name="vnhead2" xfId="2318"/>
    <cellStyle name="vnhead2 2" xfId="2319"/>
    <cellStyle name="vnhead3" xfId="2320"/>
    <cellStyle name="vnhead3 2" xfId="2321"/>
    <cellStyle name="vnhead4" xfId="2322"/>
    <cellStyle name="W?hrung [0]_35ERI8T2gbIEMixb4v26icuOo" xfId="2325"/>
    <cellStyle name="W?hrung_35ERI8T2gbIEMixb4v26icuOo" xfId="2326"/>
    <cellStyle name="Währung [0]_ALLE_ITEMS_280800_EV_NL" xfId="2327"/>
    <cellStyle name="Währung_AKE_100N" xfId="2328"/>
    <cellStyle name="Walutowy [0]_Invoices2001Slovakia" xfId="2329"/>
    <cellStyle name="Walutowy_Invoices2001Slovakia" xfId="2330"/>
    <cellStyle name="wrap" xfId="2331"/>
    <cellStyle name="Wไhrung [0]_35ERI8T2gbIEMixb4v26icuOo" xfId="2332"/>
    <cellStyle name="Wไhrung_35ERI8T2gbIEMixb4v26icuOo" xfId="2333"/>
    <cellStyle name="xuan" xfId="2334"/>
    <cellStyle name="y" xfId="2335"/>
    <cellStyle name="y 2" xfId="2336"/>
    <cellStyle name="Ý kh¸c_B¶ng 1 (2)" xfId="2337"/>
    <cellStyle name="เครื่องหมายสกุลเงิน [0]_FTC_OFFER" xfId="2338"/>
    <cellStyle name="เครื่องหมายสกุลเงิน_FTC_OFFER" xfId="2339"/>
    <cellStyle name="ปกติ_FTC_OFFER" xfId="2340"/>
    <cellStyle name=" [0.00]_ Att. 1- Cover" xfId="2341"/>
    <cellStyle name="_ Att. 1- Cover" xfId="2342"/>
    <cellStyle name="?_ Att. 1- Cover" xfId="2343"/>
    <cellStyle name="똿뗦먛귟 [0.00]_PRODUCT DETAIL Q1" xfId="2344"/>
    <cellStyle name="똿뗦먛귟_PRODUCT DETAIL Q1" xfId="2345"/>
    <cellStyle name="믅됞 [0.00]_PRODUCT DETAIL Q1" xfId="2346"/>
    <cellStyle name="믅됞_PRODUCT DETAIL Q1" xfId="2347"/>
    <cellStyle name="백분율_††††† " xfId="2348"/>
    <cellStyle name="뷭?_BOOKSHIP" xfId="2349"/>
    <cellStyle name="안건회계법인" xfId="2350"/>
    <cellStyle name="콤마 [ - 유형1" xfId="2351"/>
    <cellStyle name="콤마 [ - 유형2" xfId="2352"/>
    <cellStyle name="콤마 [ - 유형3" xfId="2353"/>
    <cellStyle name="콤마 [ - 유형4" xfId="2354"/>
    <cellStyle name="콤마 [ - 유형5" xfId="2355"/>
    <cellStyle name="콤마 [ - 유형6" xfId="2356"/>
    <cellStyle name="콤마 [ - 유형7" xfId="2357"/>
    <cellStyle name="콤마 [ - 유형8" xfId="2358"/>
    <cellStyle name="콤마 [0]_ 비목별 월별기술 " xfId="2359"/>
    <cellStyle name="콤마_ 비목별 월별기술 " xfId="2360"/>
    <cellStyle name="통화 [0]_††††† " xfId="2361"/>
    <cellStyle name="통화_††††† " xfId="2362"/>
    <cellStyle name="표준_ 97년 경영분석(안)" xfId="2363"/>
    <cellStyle name="표줠_Sheet1_1_총괄표 (수출입) (2)" xfId="2364"/>
    <cellStyle name="一般_00Q3902REV.1" xfId="2365"/>
    <cellStyle name="千分位[0]_00Q3902REV.1" xfId="2366"/>
    <cellStyle name="千分位_00Q3902REV.1" xfId="2367"/>
    <cellStyle name="桁区切り [0.00]_BE-BQ" xfId="2368"/>
    <cellStyle name="桁区切り_BE-BQ" xfId="2369"/>
    <cellStyle name="標準_(A1)BOQ " xfId="2370"/>
    <cellStyle name="貨幣 [0]_00Q3902REV.1" xfId="2371"/>
    <cellStyle name="貨幣[0]_BRE" xfId="2372"/>
    <cellStyle name="貨幣_00Q3902REV.1" xfId="2373"/>
    <cellStyle name="通貨 [0.00]_BE-BQ" xfId="2374"/>
    <cellStyle name="通貨_BE-BQ" xfId="2375"/>
  </cellStyles>
  <dxfs count="2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2</xdr:col>
      <xdr:colOff>9525</xdr:colOff>
      <xdr:row>30</xdr:row>
      <xdr:rowOff>0</xdr:rowOff>
    </xdr:from>
    <xdr:to>
      <xdr:col>2</xdr:col>
      <xdr:colOff>104775</xdr:colOff>
      <xdr:row>31</xdr:row>
      <xdr:rowOff>455839</xdr:rowOff>
    </xdr:to>
    <xdr:sp macro="" textlink="">
      <xdr:nvSpPr>
        <xdr:cNvPr id="2" name="Text Box 10">
          <a:extLst>
            <a:ext uri="{FF2B5EF4-FFF2-40B4-BE49-F238E27FC236}">
              <a16:creationId xmlns="" xmlns:a16="http://schemas.microsoft.com/office/drawing/2014/main" id="{00000000-0008-0000-0200-000002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3" name="Text Box 11">
          <a:extLst>
            <a:ext uri="{FF2B5EF4-FFF2-40B4-BE49-F238E27FC236}">
              <a16:creationId xmlns="" xmlns:a16="http://schemas.microsoft.com/office/drawing/2014/main" id="{00000000-0008-0000-0200-000003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4" name="Text Box 12">
          <a:extLst>
            <a:ext uri="{FF2B5EF4-FFF2-40B4-BE49-F238E27FC236}">
              <a16:creationId xmlns="" xmlns:a16="http://schemas.microsoft.com/office/drawing/2014/main" id="{00000000-0008-0000-0200-000004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5" name="Text Box 10">
          <a:extLst>
            <a:ext uri="{FF2B5EF4-FFF2-40B4-BE49-F238E27FC236}">
              <a16:creationId xmlns="" xmlns:a16="http://schemas.microsoft.com/office/drawing/2014/main" id="{00000000-0008-0000-0200-000005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6" name="Text Box 11">
          <a:extLst>
            <a:ext uri="{FF2B5EF4-FFF2-40B4-BE49-F238E27FC236}">
              <a16:creationId xmlns="" xmlns:a16="http://schemas.microsoft.com/office/drawing/2014/main" id="{00000000-0008-0000-0200-000006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7" name="Text Box 12">
          <a:extLst>
            <a:ext uri="{FF2B5EF4-FFF2-40B4-BE49-F238E27FC236}">
              <a16:creationId xmlns="" xmlns:a16="http://schemas.microsoft.com/office/drawing/2014/main" id="{00000000-0008-0000-0200-000007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8" name="Text Box 10">
          <a:extLst>
            <a:ext uri="{FF2B5EF4-FFF2-40B4-BE49-F238E27FC236}">
              <a16:creationId xmlns="" xmlns:a16="http://schemas.microsoft.com/office/drawing/2014/main" id="{00000000-0008-0000-0200-000008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9" name="Text Box 11">
          <a:extLst>
            <a:ext uri="{FF2B5EF4-FFF2-40B4-BE49-F238E27FC236}">
              <a16:creationId xmlns="" xmlns:a16="http://schemas.microsoft.com/office/drawing/2014/main" id="{00000000-0008-0000-0200-000009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10" name="Text Box 12">
          <a:extLst>
            <a:ext uri="{FF2B5EF4-FFF2-40B4-BE49-F238E27FC236}">
              <a16:creationId xmlns="" xmlns:a16="http://schemas.microsoft.com/office/drawing/2014/main" id="{00000000-0008-0000-0200-00000A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11" name="Text Box 10">
          <a:extLst>
            <a:ext uri="{FF2B5EF4-FFF2-40B4-BE49-F238E27FC236}">
              <a16:creationId xmlns="" xmlns:a16="http://schemas.microsoft.com/office/drawing/2014/main" id="{00000000-0008-0000-0200-00000B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12" name="Text Box 11">
          <a:extLst>
            <a:ext uri="{FF2B5EF4-FFF2-40B4-BE49-F238E27FC236}">
              <a16:creationId xmlns="" xmlns:a16="http://schemas.microsoft.com/office/drawing/2014/main" id="{00000000-0008-0000-0200-00000C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13" name="Text Box 12">
          <a:extLst>
            <a:ext uri="{FF2B5EF4-FFF2-40B4-BE49-F238E27FC236}">
              <a16:creationId xmlns="" xmlns:a16="http://schemas.microsoft.com/office/drawing/2014/main" id="{00000000-0008-0000-0200-00000D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14" name="Text Box 10">
          <a:extLst>
            <a:ext uri="{FF2B5EF4-FFF2-40B4-BE49-F238E27FC236}">
              <a16:creationId xmlns="" xmlns:a16="http://schemas.microsoft.com/office/drawing/2014/main" id="{00000000-0008-0000-0200-00000E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15" name="Text Box 11">
          <a:extLst>
            <a:ext uri="{FF2B5EF4-FFF2-40B4-BE49-F238E27FC236}">
              <a16:creationId xmlns="" xmlns:a16="http://schemas.microsoft.com/office/drawing/2014/main" id="{00000000-0008-0000-0200-00000F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16" name="Text Box 12">
          <a:extLst>
            <a:ext uri="{FF2B5EF4-FFF2-40B4-BE49-F238E27FC236}">
              <a16:creationId xmlns="" xmlns:a16="http://schemas.microsoft.com/office/drawing/2014/main" id="{00000000-0008-0000-0200-000010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17" name="Text Box 10">
          <a:extLst>
            <a:ext uri="{FF2B5EF4-FFF2-40B4-BE49-F238E27FC236}">
              <a16:creationId xmlns="" xmlns:a16="http://schemas.microsoft.com/office/drawing/2014/main" id="{00000000-0008-0000-0200-000011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18" name="Text Box 11">
          <a:extLst>
            <a:ext uri="{FF2B5EF4-FFF2-40B4-BE49-F238E27FC236}">
              <a16:creationId xmlns="" xmlns:a16="http://schemas.microsoft.com/office/drawing/2014/main" id="{00000000-0008-0000-0200-000012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19" name="Text Box 12">
          <a:extLst>
            <a:ext uri="{FF2B5EF4-FFF2-40B4-BE49-F238E27FC236}">
              <a16:creationId xmlns="" xmlns:a16="http://schemas.microsoft.com/office/drawing/2014/main" id="{00000000-0008-0000-0200-000013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20" name="Text Box 10">
          <a:extLst>
            <a:ext uri="{FF2B5EF4-FFF2-40B4-BE49-F238E27FC236}">
              <a16:creationId xmlns="" xmlns:a16="http://schemas.microsoft.com/office/drawing/2014/main" id="{00000000-0008-0000-0200-000014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21" name="Text Box 11">
          <a:extLst>
            <a:ext uri="{FF2B5EF4-FFF2-40B4-BE49-F238E27FC236}">
              <a16:creationId xmlns="" xmlns:a16="http://schemas.microsoft.com/office/drawing/2014/main" id="{00000000-0008-0000-0200-000015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22" name="Text Box 12">
          <a:extLst>
            <a:ext uri="{FF2B5EF4-FFF2-40B4-BE49-F238E27FC236}">
              <a16:creationId xmlns="" xmlns:a16="http://schemas.microsoft.com/office/drawing/2014/main" id="{00000000-0008-0000-0200-000016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23" name="Text Box 10">
          <a:extLst>
            <a:ext uri="{FF2B5EF4-FFF2-40B4-BE49-F238E27FC236}">
              <a16:creationId xmlns="" xmlns:a16="http://schemas.microsoft.com/office/drawing/2014/main" id="{00000000-0008-0000-0200-000017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24" name="Text Box 11">
          <a:extLst>
            <a:ext uri="{FF2B5EF4-FFF2-40B4-BE49-F238E27FC236}">
              <a16:creationId xmlns="" xmlns:a16="http://schemas.microsoft.com/office/drawing/2014/main" id="{00000000-0008-0000-0200-000018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25" name="Text Box 12">
          <a:extLst>
            <a:ext uri="{FF2B5EF4-FFF2-40B4-BE49-F238E27FC236}">
              <a16:creationId xmlns="" xmlns:a16="http://schemas.microsoft.com/office/drawing/2014/main" id="{00000000-0008-0000-0200-000019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26" name="Text Box 10">
          <a:extLst>
            <a:ext uri="{FF2B5EF4-FFF2-40B4-BE49-F238E27FC236}">
              <a16:creationId xmlns="" xmlns:a16="http://schemas.microsoft.com/office/drawing/2014/main" id="{00000000-0008-0000-0200-00001A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27" name="Text Box 11">
          <a:extLst>
            <a:ext uri="{FF2B5EF4-FFF2-40B4-BE49-F238E27FC236}">
              <a16:creationId xmlns="" xmlns:a16="http://schemas.microsoft.com/office/drawing/2014/main" id="{00000000-0008-0000-0200-00001B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28" name="Text Box 12">
          <a:extLst>
            <a:ext uri="{FF2B5EF4-FFF2-40B4-BE49-F238E27FC236}">
              <a16:creationId xmlns="" xmlns:a16="http://schemas.microsoft.com/office/drawing/2014/main" id="{00000000-0008-0000-0200-00001C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29" name="Text Box 10">
          <a:extLst>
            <a:ext uri="{FF2B5EF4-FFF2-40B4-BE49-F238E27FC236}">
              <a16:creationId xmlns="" xmlns:a16="http://schemas.microsoft.com/office/drawing/2014/main" id="{00000000-0008-0000-0200-00001D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30" name="Text Box 11">
          <a:extLst>
            <a:ext uri="{FF2B5EF4-FFF2-40B4-BE49-F238E27FC236}">
              <a16:creationId xmlns="" xmlns:a16="http://schemas.microsoft.com/office/drawing/2014/main" id="{00000000-0008-0000-0200-00001E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31" name="Text Box 12">
          <a:extLst>
            <a:ext uri="{FF2B5EF4-FFF2-40B4-BE49-F238E27FC236}">
              <a16:creationId xmlns="" xmlns:a16="http://schemas.microsoft.com/office/drawing/2014/main" id="{00000000-0008-0000-0200-00001F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32" name="Text Box 10">
          <a:extLst>
            <a:ext uri="{FF2B5EF4-FFF2-40B4-BE49-F238E27FC236}">
              <a16:creationId xmlns="" xmlns:a16="http://schemas.microsoft.com/office/drawing/2014/main" id="{00000000-0008-0000-0200-000020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33" name="Text Box 11">
          <a:extLst>
            <a:ext uri="{FF2B5EF4-FFF2-40B4-BE49-F238E27FC236}">
              <a16:creationId xmlns="" xmlns:a16="http://schemas.microsoft.com/office/drawing/2014/main" id="{00000000-0008-0000-0200-000021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34" name="Text Box 12">
          <a:extLst>
            <a:ext uri="{FF2B5EF4-FFF2-40B4-BE49-F238E27FC236}">
              <a16:creationId xmlns="" xmlns:a16="http://schemas.microsoft.com/office/drawing/2014/main" id="{00000000-0008-0000-0200-000022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35" name="Text Box 10">
          <a:extLst>
            <a:ext uri="{FF2B5EF4-FFF2-40B4-BE49-F238E27FC236}">
              <a16:creationId xmlns="" xmlns:a16="http://schemas.microsoft.com/office/drawing/2014/main" id="{00000000-0008-0000-0200-000023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36" name="Text Box 11">
          <a:extLst>
            <a:ext uri="{FF2B5EF4-FFF2-40B4-BE49-F238E27FC236}">
              <a16:creationId xmlns="" xmlns:a16="http://schemas.microsoft.com/office/drawing/2014/main" id="{00000000-0008-0000-0200-000024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37" name="Text Box 12">
          <a:extLst>
            <a:ext uri="{FF2B5EF4-FFF2-40B4-BE49-F238E27FC236}">
              <a16:creationId xmlns="" xmlns:a16="http://schemas.microsoft.com/office/drawing/2014/main" id="{00000000-0008-0000-0200-000025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38" name="Text Box 10">
          <a:extLst>
            <a:ext uri="{FF2B5EF4-FFF2-40B4-BE49-F238E27FC236}">
              <a16:creationId xmlns="" xmlns:a16="http://schemas.microsoft.com/office/drawing/2014/main" id="{00000000-0008-0000-0200-000026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39" name="Text Box 11">
          <a:extLst>
            <a:ext uri="{FF2B5EF4-FFF2-40B4-BE49-F238E27FC236}">
              <a16:creationId xmlns="" xmlns:a16="http://schemas.microsoft.com/office/drawing/2014/main" id="{00000000-0008-0000-0200-000027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40" name="Text Box 12">
          <a:extLst>
            <a:ext uri="{FF2B5EF4-FFF2-40B4-BE49-F238E27FC236}">
              <a16:creationId xmlns="" xmlns:a16="http://schemas.microsoft.com/office/drawing/2014/main" id="{00000000-0008-0000-0200-000028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41" name="Text Box 10">
          <a:extLst>
            <a:ext uri="{FF2B5EF4-FFF2-40B4-BE49-F238E27FC236}">
              <a16:creationId xmlns="" xmlns:a16="http://schemas.microsoft.com/office/drawing/2014/main" id="{00000000-0008-0000-0200-000029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42" name="Text Box 11">
          <a:extLst>
            <a:ext uri="{FF2B5EF4-FFF2-40B4-BE49-F238E27FC236}">
              <a16:creationId xmlns="" xmlns:a16="http://schemas.microsoft.com/office/drawing/2014/main" id="{00000000-0008-0000-0200-00002A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43" name="Text Box 12">
          <a:extLst>
            <a:ext uri="{FF2B5EF4-FFF2-40B4-BE49-F238E27FC236}">
              <a16:creationId xmlns="" xmlns:a16="http://schemas.microsoft.com/office/drawing/2014/main" id="{00000000-0008-0000-0200-00002B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44" name="Text Box 10">
          <a:extLst>
            <a:ext uri="{FF2B5EF4-FFF2-40B4-BE49-F238E27FC236}">
              <a16:creationId xmlns="" xmlns:a16="http://schemas.microsoft.com/office/drawing/2014/main" id="{00000000-0008-0000-0200-00002C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45" name="Text Box 11">
          <a:extLst>
            <a:ext uri="{FF2B5EF4-FFF2-40B4-BE49-F238E27FC236}">
              <a16:creationId xmlns="" xmlns:a16="http://schemas.microsoft.com/office/drawing/2014/main" id="{00000000-0008-0000-0200-00002D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46" name="Text Box 12">
          <a:extLst>
            <a:ext uri="{FF2B5EF4-FFF2-40B4-BE49-F238E27FC236}">
              <a16:creationId xmlns="" xmlns:a16="http://schemas.microsoft.com/office/drawing/2014/main" id="{00000000-0008-0000-0200-00002E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47" name="Text Box 10">
          <a:extLst>
            <a:ext uri="{FF2B5EF4-FFF2-40B4-BE49-F238E27FC236}">
              <a16:creationId xmlns="" xmlns:a16="http://schemas.microsoft.com/office/drawing/2014/main" id="{00000000-0008-0000-0200-00002F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48" name="Text Box 11">
          <a:extLst>
            <a:ext uri="{FF2B5EF4-FFF2-40B4-BE49-F238E27FC236}">
              <a16:creationId xmlns="" xmlns:a16="http://schemas.microsoft.com/office/drawing/2014/main" id="{00000000-0008-0000-0200-000030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49" name="Text Box 12">
          <a:extLst>
            <a:ext uri="{FF2B5EF4-FFF2-40B4-BE49-F238E27FC236}">
              <a16:creationId xmlns="" xmlns:a16="http://schemas.microsoft.com/office/drawing/2014/main" id="{00000000-0008-0000-0200-000031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50" name="Text Box 10">
          <a:extLst>
            <a:ext uri="{FF2B5EF4-FFF2-40B4-BE49-F238E27FC236}">
              <a16:creationId xmlns="" xmlns:a16="http://schemas.microsoft.com/office/drawing/2014/main" id="{00000000-0008-0000-0200-000032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51" name="Text Box 11">
          <a:extLst>
            <a:ext uri="{FF2B5EF4-FFF2-40B4-BE49-F238E27FC236}">
              <a16:creationId xmlns="" xmlns:a16="http://schemas.microsoft.com/office/drawing/2014/main" id="{00000000-0008-0000-0200-000033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52" name="Text Box 12">
          <a:extLst>
            <a:ext uri="{FF2B5EF4-FFF2-40B4-BE49-F238E27FC236}">
              <a16:creationId xmlns="" xmlns:a16="http://schemas.microsoft.com/office/drawing/2014/main" id="{00000000-0008-0000-0200-000034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53" name="Text Box 10">
          <a:extLst>
            <a:ext uri="{FF2B5EF4-FFF2-40B4-BE49-F238E27FC236}">
              <a16:creationId xmlns="" xmlns:a16="http://schemas.microsoft.com/office/drawing/2014/main" id="{00000000-0008-0000-0200-000035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54" name="Text Box 11">
          <a:extLst>
            <a:ext uri="{FF2B5EF4-FFF2-40B4-BE49-F238E27FC236}">
              <a16:creationId xmlns="" xmlns:a16="http://schemas.microsoft.com/office/drawing/2014/main" id="{00000000-0008-0000-0200-000036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55" name="Text Box 12">
          <a:extLst>
            <a:ext uri="{FF2B5EF4-FFF2-40B4-BE49-F238E27FC236}">
              <a16:creationId xmlns="" xmlns:a16="http://schemas.microsoft.com/office/drawing/2014/main" id="{00000000-0008-0000-0200-000037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56" name="Text Box 10">
          <a:extLst>
            <a:ext uri="{FF2B5EF4-FFF2-40B4-BE49-F238E27FC236}">
              <a16:creationId xmlns="" xmlns:a16="http://schemas.microsoft.com/office/drawing/2014/main" id="{00000000-0008-0000-0200-000038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57" name="Text Box 11">
          <a:extLst>
            <a:ext uri="{FF2B5EF4-FFF2-40B4-BE49-F238E27FC236}">
              <a16:creationId xmlns="" xmlns:a16="http://schemas.microsoft.com/office/drawing/2014/main" id="{00000000-0008-0000-0200-000039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58" name="Text Box 12">
          <a:extLst>
            <a:ext uri="{FF2B5EF4-FFF2-40B4-BE49-F238E27FC236}">
              <a16:creationId xmlns="" xmlns:a16="http://schemas.microsoft.com/office/drawing/2014/main" id="{00000000-0008-0000-0200-00003A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59" name="Text Box 10">
          <a:extLst>
            <a:ext uri="{FF2B5EF4-FFF2-40B4-BE49-F238E27FC236}">
              <a16:creationId xmlns="" xmlns:a16="http://schemas.microsoft.com/office/drawing/2014/main" id="{00000000-0008-0000-0200-00003B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60" name="Text Box 11">
          <a:extLst>
            <a:ext uri="{FF2B5EF4-FFF2-40B4-BE49-F238E27FC236}">
              <a16:creationId xmlns="" xmlns:a16="http://schemas.microsoft.com/office/drawing/2014/main" id="{00000000-0008-0000-0200-00003C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61" name="Text Box 12">
          <a:extLst>
            <a:ext uri="{FF2B5EF4-FFF2-40B4-BE49-F238E27FC236}">
              <a16:creationId xmlns="" xmlns:a16="http://schemas.microsoft.com/office/drawing/2014/main" id="{00000000-0008-0000-0200-00003D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62" name="Text Box 10">
          <a:extLst>
            <a:ext uri="{FF2B5EF4-FFF2-40B4-BE49-F238E27FC236}">
              <a16:creationId xmlns="" xmlns:a16="http://schemas.microsoft.com/office/drawing/2014/main" id="{00000000-0008-0000-0200-00003E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63" name="Text Box 11">
          <a:extLst>
            <a:ext uri="{FF2B5EF4-FFF2-40B4-BE49-F238E27FC236}">
              <a16:creationId xmlns="" xmlns:a16="http://schemas.microsoft.com/office/drawing/2014/main" id="{00000000-0008-0000-0200-00003F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64" name="Text Box 12">
          <a:extLst>
            <a:ext uri="{FF2B5EF4-FFF2-40B4-BE49-F238E27FC236}">
              <a16:creationId xmlns="" xmlns:a16="http://schemas.microsoft.com/office/drawing/2014/main" id="{00000000-0008-0000-0200-000040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65" name="Text Box 10">
          <a:extLst>
            <a:ext uri="{FF2B5EF4-FFF2-40B4-BE49-F238E27FC236}">
              <a16:creationId xmlns="" xmlns:a16="http://schemas.microsoft.com/office/drawing/2014/main" id="{00000000-0008-0000-0200-000041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66" name="Text Box 11">
          <a:extLst>
            <a:ext uri="{FF2B5EF4-FFF2-40B4-BE49-F238E27FC236}">
              <a16:creationId xmlns="" xmlns:a16="http://schemas.microsoft.com/office/drawing/2014/main" id="{00000000-0008-0000-0200-000042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67" name="Text Box 12">
          <a:extLst>
            <a:ext uri="{FF2B5EF4-FFF2-40B4-BE49-F238E27FC236}">
              <a16:creationId xmlns="" xmlns:a16="http://schemas.microsoft.com/office/drawing/2014/main" id="{00000000-0008-0000-0200-000043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68" name="Text Box 10">
          <a:extLst>
            <a:ext uri="{FF2B5EF4-FFF2-40B4-BE49-F238E27FC236}">
              <a16:creationId xmlns="" xmlns:a16="http://schemas.microsoft.com/office/drawing/2014/main" id="{00000000-0008-0000-0200-000044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69" name="Text Box 11">
          <a:extLst>
            <a:ext uri="{FF2B5EF4-FFF2-40B4-BE49-F238E27FC236}">
              <a16:creationId xmlns="" xmlns:a16="http://schemas.microsoft.com/office/drawing/2014/main" id="{00000000-0008-0000-0200-000045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70" name="Text Box 12">
          <a:extLst>
            <a:ext uri="{FF2B5EF4-FFF2-40B4-BE49-F238E27FC236}">
              <a16:creationId xmlns="" xmlns:a16="http://schemas.microsoft.com/office/drawing/2014/main" id="{00000000-0008-0000-0200-000046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71" name="Text Box 10">
          <a:extLst>
            <a:ext uri="{FF2B5EF4-FFF2-40B4-BE49-F238E27FC236}">
              <a16:creationId xmlns="" xmlns:a16="http://schemas.microsoft.com/office/drawing/2014/main" id="{00000000-0008-0000-0200-000047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72" name="Text Box 11">
          <a:extLst>
            <a:ext uri="{FF2B5EF4-FFF2-40B4-BE49-F238E27FC236}">
              <a16:creationId xmlns="" xmlns:a16="http://schemas.microsoft.com/office/drawing/2014/main" id="{00000000-0008-0000-0200-000048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73" name="Text Box 12">
          <a:extLst>
            <a:ext uri="{FF2B5EF4-FFF2-40B4-BE49-F238E27FC236}">
              <a16:creationId xmlns="" xmlns:a16="http://schemas.microsoft.com/office/drawing/2014/main" id="{00000000-0008-0000-0200-000049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74" name="Text Box 10">
          <a:extLst>
            <a:ext uri="{FF2B5EF4-FFF2-40B4-BE49-F238E27FC236}">
              <a16:creationId xmlns="" xmlns:a16="http://schemas.microsoft.com/office/drawing/2014/main" id="{00000000-0008-0000-0200-00004A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75" name="Text Box 11">
          <a:extLst>
            <a:ext uri="{FF2B5EF4-FFF2-40B4-BE49-F238E27FC236}">
              <a16:creationId xmlns="" xmlns:a16="http://schemas.microsoft.com/office/drawing/2014/main" id="{00000000-0008-0000-0200-00004B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76" name="Text Box 12">
          <a:extLst>
            <a:ext uri="{FF2B5EF4-FFF2-40B4-BE49-F238E27FC236}">
              <a16:creationId xmlns="" xmlns:a16="http://schemas.microsoft.com/office/drawing/2014/main" id="{00000000-0008-0000-0200-00004C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77" name="Text Box 10">
          <a:extLst>
            <a:ext uri="{FF2B5EF4-FFF2-40B4-BE49-F238E27FC236}">
              <a16:creationId xmlns="" xmlns:a16="http://schemas.microsoft.com/office/drawing/2014/main" id="{00000000-0008-0000-0200-00004D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78" name="Text Box 11">
          <a:extLst>
            <a:ext uri="{FF2B5EF4-FFF2-40B4-BE49-F238E27FC236}">
              <a16:creationId xmlns="" xmlns:a16="http://schemas.microsoft.com/office/drawing/2014/main" id="{00000000-0008-0000-0200-00004E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79" name="Text Box 12">
          <a:extLst>
            <a:ext uri="{FF2B5EF4-FFF2-40B4-BE49-F238E27FC236}">
              <a16:creationId xmlns="" xmlns:a16="http://schemas.microsoft.com/office/drawing/2014/main" id="{00000000-0008-0000-0200-00004F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80" name="Text Box 10">
          <a:extLst>
            <a:ext uri="{FF2B5EF4-FFF2-40B4-BE49-F238E27FC236}">
              <a16:creationId xmlns="" xmlns:a16="http://schemas.microsoft.com/office/drawing/2014/main" id="{00000000-0008-0000-0200-000050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81" name="Text Box 11">
          <a:extLst>
            <a:ext uri="{FF2B5EF4-FFF2-40B4-BE49-F238E27FC236}">
              <a16:creationId xmlns="" xmlns:a16="http://schemas.microsoft.com/office/drawing/2014/main" id="{00000000-0008-0000-0200-000051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82" name="Text Box 12">
          <a:extLst>
            <a:ext uri="{FF2B5EF4-FFF2-40B4-BE49-F238E27FC236}">
              <a16:creationId xmlns="" xmlns:a16="http://schemas.microsoft.com/office/drawing/2014/main" id="{00000000-0008-0000-0200-000052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83" name="Text Box 10">
          <a:extLst>
            <a:ext uri="{FF2B5EF4-FFF2-40B4-BE49-F238E27FC236}">
              <a16:creationId xmlns="" xmlns:a16="http://schemas.microsoft.com/office/drawing/2014/main" id="{00000000-0008-0000-0200-000053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84" name="Text Box 11">
          <a:extLst>
            <a:ext uri="{FF2B5EF4-FFF2-40B4-BE49-F238E27FC236}">
              <a16:creationId xmlns="" xmlns:a16="http://schemas.microsoft.com/office/drawing/2014/main" id="{00000000-0008-0000-0200-000054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85" name="Text Box 12">
          <a:extLst>
            <a:ext uri="{FF2B5EF4-FFF2-40B4-BE49-F238E27FC236}">
              <a16:creationId xmlns="" xmlns:a16="http://schemas.microsoft.com/office/drawing/2014/main" id="{00000000-0008-0000-0200-000055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86" name="Text Box 10">
          <a:extLst>
            <a:ext uri="{FF2B5EF4-FFF2-40B4-BE49-F238E27FC236}">
              <a16:creationId xmlns="" xmlns:a16="http://schemas.microsoft.com/office/drawing/2014/main" id="{00000000-0008-0000-0200-000056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87" name="Text Box 11">
          <a:extLst>
            <a:ext uri="{FF2B5EF4-FFF2-40B4-BE49-F238E27FC236}">
              <a16:creationId xmlns="" xmlns:a16="http://schemas.microsoft.com/office/drawing/2014/main" id="{00000000-0008-0000-0200-000057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88" name="Text Box 12">
          <a:extLst>
            <a:ext uri="{FF2B5EF4-FFF2-40B4-BE49-F238E27FC236}">
              <a16:creationId xmlns="" xmlns:a16="http://schemas.microsoft.com/office/drawing/2014/main" id="{00000000-0008-0000-0200-000058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89" name="Text Box 10">
          <a:extLst>
            <a:ext uri="{FF2B5EF4-FFF2-40B4-BE49-F238E27FC236}">
              <a16:creationId xmlns="" xmlns:a16="http://schemas.microsoft.com/office/drawing/2014/main" id="{00000000-0008-0000-0200-000059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90" name="Text Box 11">
          <a:extLst>
            <a:ext uri="{FF2B5EF4-FFF2-40B4-BE49-F238E27FC236}">
              <a16:creationId xmlns="" xmlns:a16="http://schemas.microsoft.com/office/drawing/2014/main" id="{00000000-0008-0000-0200-00005A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91" name="Text Box 12">
          <a:extLst>
            <a:ext uri="{FF2B5EF4-FFF2-40B4-BE49-F238E27FC236}">
              <a16:creationId xmlns="" xmlns:a16="http://schemas.microsoft.com/office/drawing/2014/main" id="{00000000-0008-0000-0200-00005B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92" name="Text Box 10">
          <a:extLst>
            <a:ext uri="{FF2B5EF4-FFF2-40B4-BE49-F238E27FC236}">
              <a16:creationId xmlns="" xmlns:a16="http://schemas.microsoft.com/office/drawing/2014/main" id="{00000000-0008-0000-0200-00005C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93" name="Text Box 11">
          <a:extLst>
            <a:ext uri="{FF2B5EF4-FFF2-40B4-BE49-F238E27FC236}">
              <a16:creationId xmlns="" xmlns:a16="http://schemas.microsoft.com/office/drawing/2014/main" id="{00000000-0008-0000-0200-00005D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94" name="Text Box 12">
          <a:extLst>
            <a:ext uri="{FF2B5EF4-FFF2-40B4-BE49-F238E27FC236}">
              <a16:creationId xmlns="" xmlns:a16="http://schemas.microsoft.com/office/drawing/2014/main" id="{00000000-0008-0000-0200-00005E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95" name="Text Box 10">
          <a:extLst>
            <a:ext uri="{FF2B5EF4-FFF2-40B4-BE49-F238E27FC236}">
              <a16:creationId xmlns="" xmlns:a16="http://schemas.microsoft.com/office/drawing/2014/main" id="{00000000-0008-0000-0200-00005F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96" name="Text Box 11">
          <a:extLst>
            <a:ext uri="{FF2B5EF4-FFF2-40B4-BE49-F238E27FC236}">
              <a16:creationId xmlns="" xmlns:a16="http://schemas.microsoft.com/office/drawing/2014/main" id="{00000000-0008-0000-0200-000060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97" name="Text Box 12">
          <a:extLst>
            <a:ext uri="{FF2B5EF4-FFF2-40B4-BE49-F238E27FC236}">
              <a16:creationId xmlns="" xmlns:a16="http://schemas.microsoft.com/office/drawing/2014/main" id="{00000000-0008-0000-0200-000061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98" name="Text Box 10">
          <a:extLst>
            <a:ext uri="{FF2B5EF4-FFF2-40B4-BE49-F238E27FC236}">
              <a16:creationId xmlns="" xmlns:a16="http://schemas.microsoft.com/office/drawing/2014/main" id="{00000000-0008-0000-0200-000062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99" name="Text Box 11">
          <a:extLst>
            <a:ext uri="{FF2B5EF4-FFF2-40B4-BE49-F238E27FC236}">
              <a16:creationId xmlns="" xmlns:a16="http://schemas.microsoft.com/office/drawing/2014/main" id="{00000000-0008-0000-0200-000063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100" name="Text Box 12">
          <a:extLst>
            <a:ext uri="{FF2B5EF4-FFF2-40B4-BE49-F238E27FC236}">
              <a16:creationId xmlns="" xmlns:a16="http://schemas.microsoft.com/office/drawing/2014/main" id="{00000000-0008-0000-0200-000064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101" name="Text Box 10">
          <a:extLst>
            <a:ext uri="{FF2B5EF4-FFF2-40B4-BE49-F238E27FC236}">
              <a16:creationId xmlns="" xmlns:a16="http://schemas.microsoft.com/office/drawing/2014/main" id="{00000000-0008-0000-0200-000065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102" name="Text Box 11">
          <a:extLst>
            <a:ext uri="{FF2B5EF4-FFF2-40B4-BE49-F238E27FC236}">
              <a16:creationId xmlns="" xmlns:a16="http://schemas.microsoft.com/office/drawing/2014/main" id="{00000000-0008-0000-0200-000066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103" name="Text Box 12">
          <a:extLst>
            <a:ext uri="{FF2B5EF4-FFF2-40B4-BE49-F238E27FC236}">
              <a16:creationId xmlns="" xmlns:a16="http://schemas.microsoft.com/office/drawing/2014/main" id="{00000000-0008-0000-0200-000067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104" name="Text Box 10">
          <a:extLst>
            <a:ext uri="{FF2B5EF4-FFF2-40B4-BE49-F238E27FC236}">
              <a16:creationId xmlns="" xmlns:a16="http://schemas.microsoft.com/office/drawing/2014/main" id="{00000000-0008-0000-0200-000068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105" name="Text Box 11">
          <a:extLst>
            <a:ext uri="{FF2B5EF4-FFF2-40B4-BE49-F238E27FC236}">
              <a16:creationId xmlns="" xmlns:a16="http://schemas.microsoft.com/office/drawing/2014/main" id="{00000000-0008-0000-0200-000069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106" name="Text Box 12">
          <a:extLst>
            <a:ext uri="{FF2B5EF4-FFF2-40B4-BE49-F238E27FC236}">
              <a16:creationId xmlns="" xmlns:a16="http://schemas.microsoft.com/office/drawing/2014/main" id="{00000000-0008-0000-0200-00006A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107" name="Text Box 10">
          <a:extLst>
            <a:ext uri="{FF2B5EF4-FFF2-40B4-BE49-F238E27FC236}">
              <a16:creationId xmlns="" xmlns:a16="http://schemas.microsoft.com/office/drawing/2014/main" id="{00000000-0008-0000-0200-00006B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108" name="Text Box 11">
          <a:extLst>
            <a:ext uri="{FF2B5EF4-FFF2-40B4-BE49-F238E27FC236}">
              <a16:creationId xmlns="" xmlns:a16="http://schemas.microsoft.com/office/drawing/2014/main" id="{00000000-0008-0000-0200-00006C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109" name="Text Box 12">
          <a:extLst>
            <a:ext uri="{FF2B5EF4-FFF2-40B4-BE49-F238E27FC236}">
              <a16:creationId xmlns="" xmlns:a16="http://schemas.microsoft.com/office/drawing/2014/main" id="{00000000-0008-0000-0200-00006D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110" name="Text Box 10">
          <a:extLst>
            <a:ext uri="{FF2B5EF4-FFF2-40B4-BE49-F238E27FC236}">
              <a16:creationId xmlns="" xmlns:a16="http://schemas.microsoft.com/office/drawing/2014/main" id="{00000000-0008-0000-0200-00006E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111" name="Text Box 11">
          <a:extLst>
            <a:ext uri="{FF2B5EF4-FFF2-40B4-BE49-F238E27FC236}">
              <a16:creationId xmlns="" xmlns:a16="http://schemas.microsoft.com/office/drawing/2014/main" id="{00000000-0008-0000-0200-00006F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112" name="Text Box 12">
          <a:extLst>
            <a:ext uri="{FF2B5EF4-FFF2-40B4-BE49-F238E27FC236}">
              <a16:creationId xmlns="" xmlns:a16="http://schemas.microsoft.com/office/drawing/2014/main" id="{00000000-0008-0000-0200-000070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113" name="Text Box 10">
          <a:extLst>
            <a:ext uri="{FF2B5EF4-FFF2-40B4-BE49-F238E27FC236}">
              <a16:creationId xmlns="" xmlns:a16="http://schemas.microsoft.com/office/drawing/2014/main" id="{00000000-0008-0000-0200-000071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114" name="Text Box 11">
          <a:extLst>
            <a:ext uri="{FF2B5EF4-FFF2-40B4-BE49-F238E27FC236}">
              <a16:creationId xmlns="" xmlns:a16="http://schemas.microsoft.com/office/drawing/2014/main" id="{00000000-0008-0000-0200-000072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115" name="Text Box 12">
          <a:extLst>
            <a:ext uri="{FF2B5EF4-FFF2-40B4-BE49-F238E27FC236}">
              <a16:creationId xmlns="" xmlns:a16="http://schemas.microsoft.com/office/drawing/2014/main" id="{00000000-0008-0000-0200-000073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116" name="Text Box 10">
          <a:extLst>
            <a:ext uri="{FF2B5EF4-FFF2-40B4-BE49-F238E27FC236}">
              <a16:creationId xmlns="" xmlns:a16="http://schemas.microsoft.com/office/drawing/2014/main" id="{00000000-0008-0000-0200-000074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117" name="Text Box 11">
          <a:extLst>
            <a:ext uri="{FF2B5EF4-FFF2-40B4-BE49-F238E27FC236}">
              <a16:creationId xmlns="" xmlns:a16="http://schemas.microsoft.com/office/drawing/2014/main" id="{00000000-0008-0000-0200-000075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118" name="Text Box 12">
          <a:extLst>
            <a:ext uri="{FF2B5EF4-FFF2-40B4-BE49-F238E27FC236}">
              <a16:creationId xmlns="" xmlns:a16="http://schemas.microsoft.com/office/drawing/2014/main" id="{00000000-0008-0000-0200-000076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119" name="Text Box 10">
          <a:extLst>
            <a:ext uri="{FF2B5EF4-FFF2-40B4-BE49-F238E27FC236}">
              <a16:creationId xmlns="" xmlns:a16="http://schemas.microsoft.com/office/drawing/2014/main" id="{00000000-0008-0000-0200-000077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120" name="Text Box 11">
          <a:extLst>
            <a:ext uri="{FF2B5EF4-FFF2-40B4-BE49-F238E27FC236}">
              <a16:creationId xmlns="" xmlns:a16="http://schemas.microsoft.com/office/drawing/2014/main" id="{00000000-0008-0000-0200-000078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121" name="Text Box 12">
          <a:extLst>
            <a:ext uri="{FF2B5EF4-FFF2-40B4-BE49-F238E27FC236}">
              <a16:creationId xmlns="" xmlns:a16="http://schemas.microsoft.com/office/drawing/2014/main" id="{00000000-0008-0000-0200-000079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122" name="Text Box 10">
          <a:extLst>
            <a:ext uri="{FF2B5EF4-FFF2-40B4-BE49-F238E27FC236}">
              <a16:creationId xmlns="" xmlns:a16="http://schemas.microsoft.com/office/drawing/2014/main" id="{00000000-0008-0000-0200-00007A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123" name="Text Box 11">
          <a:extLst>
            <a:ext uri="{FF2B5EF4-FFF2-40B4-BE49-F238E27FC236}">
              <a16:creationId xmlns="" xmlns:a16="http://schemas.microsoft.com/office/drawing/2014/main" id="{00000000-0008-0000-0200-00007B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124" name="Text Box 12">
          <a:extLst>
            <a:ext uri="{FF2B5EF4-FFF2-40B4-BE49-F238E27FC236}">
              <a16:creationId xmlns="" xmlns:a16="http://schemas.microsoft.com/office/drawing/2014/main" id="{00000000-0008-0000-0200-00007C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125" name="Text Box 10">
          <a:extLst>
            <a:ext uri="{FF2B5EF4-FFF2-40B4-BE49-F238E27FC236}">
              <a16:creationId xmlns="" xmlns:a16="http://schemas.microsoft.com/office/drawing/2014/main" id="{00000000-0008-0000-0200-00007D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126" name="Text Box 11">
          <a:extLst>
            <a:ext uri="{FF2B5EF4-FFF2-40B4-BE49-F238E27FC236}">
              <a16:creationId xmlns="" xmlns:a16="http://schemas.microsoft.com/office/drawing/2014/main" id="{00000000-0008-0000-0200-00007E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127" name="Text Box 12">
          <a:extLst>
            <a:ext uri="{FF2B5EF4-FFF2-40B4-BE49-F238E27FC236}">
              <a16:creationId xmlns="" xmlns:a16="http://schemas.microsoft.com/office/drawing/2014/main" id="{00000000-0008-0000-0200-00007F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128" name="Text Box 10">
          <a:extLst>
            <a:ext uri="{FF2B5EF4-FFF2-40B4-BE49-F238E27FC236}">
              <a16:creationId xmlns="" xmlns:a16="http://schemas.microsoft.com/office/drawing/2014/main" id="{00000000-0008-0000-0200-000080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129" name="Text Box 11">
          <a:extLst>
            <a:ext uri="{FF2B5EF4-FFF2-40B4-BE49-F238E27FC236}">
              <a16:creationId xmlns="" xmlns:a16="http://schemas.microsoft.com/office/drawing/2014/main" id="{00000000-0008-0000-0200-000081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130" name="Text Box 12">
          <a:extLst>
            <a:ext uri="{FF2B5EF4-FFF2-40B4-BE49-F238E27FC236}">
              <a16:creationId xmlns="" xmlns:a16="http://schemas.microsoft.com/office/drawing/2014/main" id="{00000000-0008-0000-0200-000082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131" name="Text Box 10">
          <a:extLst>
            <a:ext uri="{FF2B5EF4-FFF2-40B4-BE49-F238E27FC236}">
              <a16:creationId xmlns="" xmlns:a16="http://schemas.microsoft.com/office/drawing/2014/main" id="{00000000-0008-0000-0200-000083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132" name="Text Box 11">
          <a:extLst>
            <a:ext uri="{FF2B5EF4-FFF2-40B4-BE49-F238E27FC236}">
              <a16:creationId xmlns="" xmlns:a16="http://schemas.microsoft.com/office/drawing/2014/main" id="{00000000-0008-0000-0200-000084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133" name="Text Box 12">
          <a:extLst>
            <a:ext uri="{FF2B5EF4-FFF2-40B4-BE49-F238E27FC236}">
              <a16:creationId xmlns="" xmlns:a16="http://schemas.microsoft.com/office/drawing/2014/main" id="{00000000-0008-0000-0200-000085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134" name="Text Box 10">
          <a:extLst>
            <a:ext uri="{FF2B5EF4-FFF2-40B4-BE49-F238E27FC236}">
              <a16:creationId xmlns="" xmlns:a16="http://schemas.microsoft.com/office/drawing/2014/main" id="{00000000-0008-0000-0200-000086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135" name="Text Box 11">
          <a:extLst>
            <a:ext uri="{FF2B5EF4-FFF2-40B4-BE49-F238E27FC236}">
              <a16:creationId xmlns="" xmlns:a16="http://schemas.microsoft.com/office/drawing/2014/main" id="{00000000-0008-0000-0200-000087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136" name="Text Box 12">
          <a:extLst>
            <a:ext uri="{FF2B5EF4-FFF2-40B4-BE49-F238E27FC236}">
              <a16:creationId xmlns="" xmlns:a16="http://schemas.microsoft.com/office/drawing/2014/main" id="{00000000-0008-0000-0200-000088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137" name="Text Box 10">
          <a:extLst>
            <a:ext uri="{FF2B5EF4-FFF2-40B4-BE49-F238E27FC236}">
              <a16:creationId xmlns="" xmlns:a16="http://schemas.microsoft.com/office/drawing/2014/main" id="{00000000-0008-0000-0200-000089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138" name="Text Box 11">
          <a:extLst>
            <a:ext uri="{FF2B5EF4-FFF2-40B4-BE49-F238E27FC236}">
              <a16:creationId xmlns="" xmlns:a16="http://schemas.microsoft.com/office/drawing/2014/main" id="{00000000-0008-0000-0200-00008A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139" name="Text Box 12">
          <a:extLst>
            <a:ext uri="{FF2B5EF4-FFF2-40B4-BE49-F238E27FC236}">
              <a16:creationId xmlns="" xmlns:a16="http://schemas.microsoft.com/office/drawing/2014/main" id="{00000000-0008-0000-0200-00008B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140" name="Text Box 10">
          <a:extLst>
            <a:ext uri="{FF2B5EF4-FFF2-40B4-BE49-F238E27FC236}">
              <a16:creationId xmlns="" xmlns:a16="http://schemas.microsoft.com/office/drawing/2014/main" id="{00000000-0008-0000-0200-00008C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141" name="Text Box 11">
          <a:extLst>
            <a:ext uri="{FF2B5EF4-FFF2-40B4-BE49-F238E27FC236}">
              <a16:creationId xmlns="" xmlns:a16="http://schemas.microsoft.com/office/drawing/2014/main" id="{00000000-0008-0000-0200-00008D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142" name="Text Box 12">
          <a:extLst>
            <a:ext uri="{FF2B5EF4-FFF2-40B4-BE49-F238E27FC236}">
              <a16:creationId xmlns="" xmlns:a16="http://schemas.microsoft.com/office/drawing/2014/main" id="{00000000-0008-0000-0200-00008E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143" name="Text Box 10">
          <a:extLst>
            <a:ext uri="{FF2B5EF4-FFF2-40B4-BE49-F238E27FC236}">
              <a16:creationId xmlns="" xmlns:a16="http://schemas.microsoft.com/office/drawing/2014/main" id="{00000000-0008-0000-0200-00008F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144" name="Text Box 11">
          <a:extLst>
            <a:ext uri="{FF2B5EF4-FFF2-40B4-BE49-F238E27FC236}">
              <a16:creationId xmlns="" xmlns:a16="http://schemas.microsoft.com/office/drawing/2014/main" id="{00000000-0008-0000-0200-000090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145" name="Text Box 12">
          <a:extLst>
            <a:ext uri="{FF2B5EF4-FFF2-40B4-BE49-F238E27FC236}">
              <a16:creationId xmlns="" xmlns:a16="http://schemas.microsoft.com/office/drawing/2014/main" id="{00000000-0008-0000-0200-000091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146" name="Text Box 10">
          <a:extLst>
            <a:ext uri="{FF2B5EF4-FFF2-40B4-BE49-F238E27FC236}">
              <a16:creationId xmlns="" xmlns:a16="http://schemas.microsoft.com/office/drawing/2014/main" id="{00000000-0008-0000-0200-000092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147" name="Text Box 11">
          <a:extLst>
            <a:ext uri="{FF2B5EF4-FFF2-40B4-BE49-F238E27FC236}">
              <a16:creationId xmlns="" xmlns:a16="http://schemas.microsoft.com/office/drawing/2014/main" id="{00000000-0008-0000-0200-000093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148" name="Text Box 12">
          <a:extLst>
            <a:ext uri="{FF2B5EF4-FFF2-40B4-BE49-F238E27FC236}">
              <a16:creationId xmlns="" xmlns:a16="http://schemas.microsoft.com/office/drawing/2014/main" id="{00000000-0008-0000-0200-000094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149" name="Text Box 10">
          <a:extLst>
            <a:ext uri="{FF2B5EF4-FFF2-40B4-BE49-F238E27FC236}">
              <a16:creationId xmlns="" xmlns:a16="http://schemas.microsoft.com/office/drawing/2014/main" id="{00000000-0008-0000-0200-000095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150" name="Text Box 11">
          <a:extLst>
            <a:ext uri="{FF2B5EF4-FFF2-40B4-BE49-F238E27FC236}">
              <a16:creationId xmlns="" xmlns:a16="http://schemas.microsoft.com/office/drawing/2014/main" id="{00000000-0008-0000-0200-000096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455839</xdr:rowOff>
    </xdr:to>
    <xdr:sp macro="" textlink="">
      <xdr:nvSpPr>
        <xdr:cNvPr id="151" name="Text Box 12">
          <a:extLst>
            <a:ext uri="{FF2B5EF4-FFF2-40B4-BE49-F238E27FC236}">
              <a16:creationId xmlns="" xmlns:a16="http://schemas.microsoft.com/office/drawing/2014/main" id="{00000000-0008-0000-0200-000097000000}"/>
            </a:ext>
          </a:extLst>
        </xdr:cNvPr>
        <xdr:cNvSpPr txBox="1">
          <a:spLocks noChangeArrowheads="1"/>
        </xdr:cNvSpPr>
      </xdr:nvSpPr>
      <xdr:spPr bwMode="auto">
        <a:xfrm>
          <a:off x="316230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152" name="Text Box 10">
          <a:extLst>
            <a:ext uri="{FF2B5EF4-FFF2-40B4-BE49-F238E27FC236}">
              <a16:creationId xmlns="" xmlns:a16="http://schemas.microsoft.com/office/drawing/2014/main" id="{00000000-0008-0000-0200-00009800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153" name="Text Box 11">
          <a:extLst>
            <a:ext uri="{FF2B5EF4-FFF2-40B4-BE49-F238E27FC236}">
              <a16:creationId xmlns="" xmlns:a16="http://schemas.microsoft.com/office/drawing/2014/main" id="{00000000-0008-0000-0200-00009900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154" name="Text Box 12">
          <a:extLst>
            <a:ext uri="{FF2B5EF4-FFF2-40B4-BE49-F238E27FC236}">
              <a16:creationId xmlns="" xmlns:a16="http://schemas.microsoft.com/office/drawing/2014/main" id="{00000000-0008-0000-0200-00009A00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85725</xdr:colOff>
      <xdr:row>30</xdr:row>
      <xdr:rowOff>238125</xdr:rowOff>
    </xdr:to>
    <xdr:sp macro="" textlink="">
      <xdr:nvSpPr>
        <xdr:cNvPr id="155" name="Text Box 10">
          <a:extLst>
            <a:ext uri="{FF2B5EF4-FFF2-40B4-BE49-F238E27FC236}">
              <a16:creationId xmlns="" xmlns:a16="http://schemas.microsoft.com/office/drawing/2014/main" id="{00000000-0008-0000-0200-00009B000000}"/>
            </a:ext>
          </a:extLst>
        </xdr:cNvPr>
        <xdr:cNvSpPr txBox="1">
          <a:spLocks noChangeArrowheads="1"/>
        </xdr:cNvSpPr>
      </xdr:nvSpPr>
      <xdr:spPr bwMode="auto">
        <a:xfrm>
          <a:off x="3162300" y="419862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85725</xdr:colOff>
      <xdr:row>30</xdr:row>
      <xdr:rowOff>238125</xdr:rowOff>
    </xdr:to>
    <xdr:sp macro="" textlink="">
      <xdr:nvSpPr>
        <xdr:cNvPr id="156" name="Text Box 11">
          <a:extLst>
            <a:ext uri="{FF2B5EF4-FFF2-40B4-BE49-F238E27FC236}">
              <a16:creationId xmlns="" xmlns:a16="http://schemas.microsoft.com/office/drawing/2014/main" id="{00000000-0008-0000-0200-00009C000000}"/>
            </a:ext>
          </a:extLst>
        </xdr:cNvPr>
        <xdr:cNvSpPr txBox="1">
          <a:spLocks noChangeArrowheads="1"/>
        </xdr:cNvSpPr>
      </xdr:nvSpPr>
      <xdr:spPr bwMode="auto">
        <a:xfrm>
          <a:off x="3162300" y="419862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85725</xdr:colOff>
      <xdr:row>30</xdr:row>
      <xdr:rowOff>238125</xdr:rowOff>
    </xdr:to>
    <xdr:sp macro="" textlink="">
      <xdr:nvSpPr>
        <xdr:cNvPr id="157" name="Text Box 12">
          <a:extLst>
            <a:ext uri="{FF2B5EF4-FFF2-40B4-BE49-F238E27FC236}">
              <a16:creationId xmlns="" xmlns:a16="http://schemas.microsoft.com/office/drawing/2014/main" id="{00000000-0008-0000-0200-00009D000000}"/>
            </a:ext>
          </a:extLst>
        </xdr:cNvPr>
        <xdr:cNvSpPr txBox="1">
          <a:spLocks noChangeArrowheads="1"/>
        </xdr:cNvSpPr>
      </xdr:nvSpPr>
      <xdr:spPr bwMode="auto">
        <a:xfrm>
          <a:off x="3162300" y="419862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158" name="Text Box 10">
          <a:extLst>
            <a:ext uri="{FF2B5EF4-FFF2-40B4-BE49-F238E27FC236}">
              <a16:creationId xmlns="" xmlns:a16="http://schemas.microsoft.com/office/drawing/2014/main" id="{00000000-0008-0000-0200-00009E00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159" name="Text Box 11">
          <a:extLst>
            <a:ext uri="{FF2B5EF4-FFF2-40B4-BE49-F238E27FC236}">
              <a16:creationId xmlns="" xmlns:a16="http://schemas.microsoft.com/office/drawing/2014/main" id="{00000000-0008-0000-0200-00009F00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160" name="Text Box 12">
          <a:extLst>
            <a:ext uri="{FF2B5EF4-FFF2-40B4-BE49-F238E27FC236}">
              <a16:creationId xmlns="" xmlns:a16="http://schemas.microsoft.com/office/drawing/2014/main" id="{00000000-0008-0000-0200-0000A000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85725</xdr:colOff>
      <xdr:row>30</xdr:row>
      <xdr:rowOff>238125</xdr:rowOff>
    </xdr:to>
    <xdr:sp macro="" textlink="">
      <xdr:nvSpPr>
        <xdr:cNvPr id="161" name="Text Box 10">
          <a:extLst>
            <a:ext uri="{FF2B5EF4-FFF2-40B4-BE49-F238E27FC236}">
              <a16:creationId xmlns="" xmlns:a16="http://schemas.microsoft.com/office/drawing/2014/main" id="{00000000-0008-0000-0200-0000A1000000}"/>
            </a:ext>
          </a:extLst>
        </xdr:cNvPr>
        <xdr:cNvSpPr txBox="1">
          <a:spLocks noChangeArrowheads="1"/>
        </xdr:cNvSpPr>
      </xdr:nvSpPr>
      <xdr:spPr bwMode="auto">
        <a:xfrm>
          <a:off x="3162300" y="419862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85725</xdr:colOff>
      <xdr:row>30</xdr:row>
      <xdr:rowOff>238125</xdr:rowOff>
    </xdr:to>
    <xdr:sp macro="" textlink="">
      <xdr:nvSpPr>
        <xdr:cNvPr id="162" name="Text Box 11">
          <a:extLst>
            <a:ext uri="{FF2B5EF4-FFF2-40B4-BE49-F238E27FC236}">
              <a16:creationId xmlns="" xmlns:a16="http://schemas.microsoft.com/office/drawing/2014/main" id="{00000000-0008-0000-0200-0000A2000000}"/>
            </a:ext>
          </a:extLst>
        </xdr:cNvPr>
        <xdr:cNvSpPr txBox="1">
          <a:spLocks noChangeArrowheads="1"/>
        </xdr:cNvSpPr>
      </xdr:nvSpPr>
      <xdr:spPr bwMode="auto">
        <a:xfrm>
          <a:off x="3162300" y="419862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85725</xdr:colOff>
      <xdr:row>30</xdr:row>
      <xdr:rowOff>238125</xdr:rowOff>
    </xdr:to>
    <xdr:sp macro="" textlink="">
      <xdr:nvSpPr>
        <xdr:cNvPr id="163" name="Text Box 12">
          <a:extLst>
            <a:ext uri="{FF2B5EF4-FFF2-40B4-BE49-F238E27FC236}">
              <a16:creationId xmlns="" xmlns:a16="http://schemas.microsoft.com/office/drawing/2014/main" id="{00000000-0008-0000-0200-0000A3000000}"/>
            </a:ext>
          </a:extLst>
        </xdr:cNvPr>
        <xdr:cNvSpPr txBox="1">
          <a:spLocks noChangeArrowheads="1"/>
        </xdr:cNvSpPr>
      </xdr:nvSpPr>
      <xdr:spPr bwMode="auto">
        <a:xfrm>
          <a:off x="3162300" y="419862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164" name="Text Box 10">
          <a:extLst>
            <a:ext uri="{FF2B5EF4-FFF2-40B4-BE49-F238E27FC236}">
              <a16:creationId xmlns="" xmlns:a16="http://schemas.microsoft.com/office/drawing/2014/main" id="{00000000-0008-0000-0200-0000A400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165" name="Text Box 11">
          <a:extLst>
            <a:ext uri="{FF2B5EF4-FFF2-40B4-BE49-F238E27FC236}">
              <a16:creationId xmlns="" xmlns:a16="http://schemas.microsoft.com/office/drawing/2014/main" id="{00000000-0008-0000-0200-0000A500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166" name="Text Box 12">
          <a:extLst>
            <a:ext uri="{FF2B5EF4-FFF2-40B4-BE49-F238E27FC236}">
              <a16:creationId xmlns="" xmlns:a16="http://schemas.microsoft.com/office/drawing/2014/main" id="{00000000-0008-0000-0200-0000A600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167" name="Text Box 10">
          <a:extLst>
            <a:ext uri="{FF2B5EF4-FFF2-40B4-BE49-F238E27FC236}">
              <a16:creationId xmlns="" xmlns:a16="http://schemas.microsoft.com/office/drawing/2014/main" id="{00000000-0008-0000-0200-0000A700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168" name="Text Box 11">
          <a:extLst>
            <a:ext uri="{FF2B5EF4-FFF2-40B4-BE49-F238E27FC236}">
              <a16:creationId xmlns="" xmlns:a16="http://schemas.microsoft.com/office/drawing/2014/main" id="{00000000-0008-0000-0200-0000A800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169" name="Text Box 12">
          <a:extLst>
            <a:ext uri="{FF2B5EF4-FFF2-40B4-BE49-F238E27FC236}">
              <a16:creationId xmlns="" xmlns:a16="http://schemas.microsoft.com/office/drawing/2014/main" id="{00000000-0008-0000-0200-0000A900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170" name="Text Box 10">
          <a:extLst>
            <a:ext uri="{FF2B5EF4-FFF2-40B4-BE49-F238E27FC236}">
              <a16:creationId xmlns="" xmlns:a16="http://schemas.microsoft.com/office/drawing/2014/main" id="{00000000-0008-0000-0200-0000AA00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171" name="Text Box 11">
          <a:extLst>
            <a:ext uri="{FF2B5EF4-FFF2-40B4-BE49-F238E27FC236}">
              <a16:creationId xmlns="" xmlns:a16="http://schemas.microsoft.com/office/drawing/2014/main" id="{00000000-0008-0000-0200-0000AB00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172" name="Text Box 12">
          <a:extLst>
            <a:ext uri="{FF2B5EF4-FFF2-40B4-BE49-F238E27FC236}">
              <a16:creationId xmlns="" xmlns:a16="http://schemas.microsoft.com/office/drawing/2014/main" id="{00000000-0008-0000-0200-0000AC00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173" name="Text Box 10">
          <a:extLst>
            <a:ext uri="{FF2B5EF4-FFF2-40B4-BE49-F238E27FC236}">
              <a16:creationId xmlns="" xmlns:a16="http://schemas.microsoft.com/office/drawing/2014/main" id="{00000000-0008-0000-0200-0000AD00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174" name="Text Box 11">
          <a:extLst>
            <a:ext uri="{FF2B5EF4-FFF2-40B4-BE49-F238E27FC236}">
              <a16:creationId xmlns="" xmlns:a16="http://schemas.microsoft.com/office/drawing/2014/main" id="{00000000-0008-0000-0200-0000AE00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175" name="Text Box 12">
          <a:extLst>
            <a:ext uri="{FF2B5EF4-FFF2-40B4-BE49-F238E27FC236}">
              <a16:creationId xmlns="" xmlns:a16="http://schemas.microsoft.com/office/drawing/2014/main" id="{00000000-0008-0000-0200-0000AF00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176" name="Text Box 10">
          <a:extLst>
            <a:ext uri="{FF2B5EF4-FFF2-40B4-BE49-F238E27FC236}">
              <a16:creationId xmlns="" xmlns:a16="http://schemas.microsoft.com/office/drawing/2014/main" id="{00000000-0008-0000-0200-0000B000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177" name="Text Box 11">
          <a:extLst>
            <a:ext uri="{FF2B5EF4-FFF2-40B4-BE49-F238E27FC236}">
              <a16:creationId xmlns="" xmlns:a16="http://schemas.microsoft.com/office/drawing/2014/main" id="{00000000-0008-0000-0200-0000B100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178" name="Text Box 12">
          <a:extLst>
            <a:ext uri="{FF2B5EF4-FFF2-40B4-BE49-F238E27FC236}">
              <a16:creationId xmlns="" xmlns:a16="http://schemas.microsoft.com/office/drawing/2014/main" id="{00000000-0008-0000-0200-0000B200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85725</xdr:colOff>
      <xdr:row>30</xdr:row>
      <xdr:rowOff>238125</xdr:rowOff>
    </xdr:to>
    <xdr:sp macro="" textlink="">
      <xdr:nvSpPr>
        <xdr:cNvPr id="179" name="Text Box 10">
          <a:extLst>
            <a:ext uri="{FF2B5EF4-FFF2-40B4-BE49-F238E27FC236}">
              <a16:creationId xmlns="" xmlns:a16="http://schemas.microsoft.com/office/drawing/2014/main" id="{00000000-0008-0000-0200-0000B3000000}"/>
            </a:ext>
          </a:extLst>
        </xdr:cNvPr>
        <xdr:cNvSpPr txBox="1">
          <a:spLocks noChangeArrowheads="1"/>
        </xdr:cNvSpPr>
      </xdr:nvSpPr>
      <xdr:spPr bwMode="auto">
        <a:xfrm>
          <a:off x="3162300" y="419862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85725</xdr:colOff>
      <xdr:row>30</xdr:row>
      <xdr:rowOff>238125</xdr:rowOff>
    </xdr:to>
    <xdr:sp macro="" textlink="">
      <xdr:nvSpPr>
        <xdr:cNvPr id="180" name="Text Box 11">
          <a:extLst>
            <a:ext uri="{FF2B5EF4-FFF2-40B4-BE49-F238E27FC236}">
              <a16:creationId xmlns="" xmlns:a16="http://schemas.microsoft.com/office/drawing/2014/main" id="{00000000-0008-0000-0200-0000B4000000}"/>
            </a:ext>
          </a:extLst>
        </xdr:cNvPr>
        <xdr:cNvSpPr txBox="1">
          <a:spLocks noChangeArrowheads="1"/>
        </xdr:cNvSpPr>
      </xdr:nvSpPr>
      <xdr:spPr bwMode="auto">
        <a:xfrm>
          <a:off x="3162300" y="419862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85725</xdr:colOff>
      <xdr:row>30</xdr:row>
      <xdr:rowOff>238125</xdr:rowOff>
    </xdr:to>
    <xdr:sp macro="" textlink="">
      <xdr:nvSpPr>
        <xdr:cNvPr id="181" name="Text Box 12">
          <a:extLst>
            <a:ext uri="{FF2B5EF4-FFF2-40B4-BE49-F238E27FC236}">
              <a16:creationId xmlns="" xmlns:a16="http://schemas.microsoft.com/office/drawing/2014/main" id="{00000000-0008-0000-0200-0000B5000000}"/>
            </a:ext>
          </a:extLst>
        </xdr:cNvPr>
        <xdr:cNvSpPr txBox="1">
          <a:spLocks noChangeArrowheads="1"/>
        </xdr:cNvSpPr>
      </xdr:nvSpPr>
      <xdr:spPr bwMode="auto">
        <a:xfrm>
          <a:off x="3162300" y="419862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182" name="Text Box 10">
          <a:extLst>
            <a:ext uri="{FF2B5EF4-FFF2-40B4-BE49-F238E27FC236}">
              <a16:creationId xmlns="" xmlns:a16="http://schemas.microsoft.com/office/drawing/2014/main" id="{00000000-0008-0000-0200-0000B600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183" name="Text Box 11">
          <a:extLst>
            <a:ext uri="{FF2B5EF4-FFF2-40B4-BE49-F238E27FC236}">
              <a16:creationId xmlns="" xmlns:a16="http://schemas.microsoft.com/office/drawing/2014/main" id="{00000000-0008-0000-0200-0000B700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184" name="Text Box 12">
          <a:extLst>
            <a:ext uri="{FF2B5EF4-FFF2-40B4-BE49-F238E27FC236}">
              <a16:creationId xmlns="" xmlns:a16="http://schemas.microsoft.com/office/drawing/2014/main" id="{00000000-0008-0000-0200-0000B800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85725</xdr:colOff>
      <xdr:row>30</xdr:row>
      <xdr:rowOff>238125</xdr:rowOff>
    </xdr:to>
    <xdr:sp macro="" textlink="">
      <xdr:nvSpPr>
        <xdr:cNvPr id="185" name="Text Box 10">
          <a:extLst>
            <a:ext uri="{FF2B5EF4-FFF2-40B4-BE49-F238E27FC236}">
              <a16:creationId xmlns="" xmlns:a16="http://schemas.microsoft.com/office/drawing/2014/main" id="{00000000-0008-0000-0200-0000B9000000}"/>
            </a:ext>
          </a:extLst>
        </xdr:cNvPr>
        <xdr:cNvSpPr txBox="1">
          <a:spLocks noChangeArrowheads="1"/>
        </xdr:cNvSpPr>
      </xdr:nvSpPr>
      <xdr:spPr bwMode="auto">
        <a:xfrm>
          <a:off x="3162300" y="419862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85725</xdr:colOff>
      <xdr:row>30</xdr:row>
      <xdr:rowOff>238125</xdr:rowOff>
    </xdr:to>
    <xdr:sp macro="" textlink="">
      <xdr:nvSpPr>
        <xdr:cNvPr id="186" name="Text Box 11">
          <a:extLst>
            <a:ext uri="{FF2B5EF4-FFF2-40B4-BE49-F238E27FC236}">
              <a16:creationId xmlns="" xmlns:a16="http://schemas.microsoft.com/office/drawing/2014/main" id="{00000000-0008-0000-0200-0000BA000000}"/>
            </a:ext>
          </a:extLst>
        </xdr:cNvPr>
        <xdr:cNvSpPr txBox="1">
          <a:spLocks noChangeArrowheads="1"/>
        </xdr:cNvSpPr>
      </xdr:nvSpPr>
      <xdr:spPr bwMode="auto">
        <a:xfrm>
          <a:off x="3162300" y="419862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85725</xdr:colOff>
      <xdr:row>30</xdr:row>
      <xdr:rowOff>238125</xdr:rowOff>
    </xdr:to>
    <xdr:sp macro="" textlink="">
      <xdr:nvSpPr>
        <xdr:cNvPr id="187" name="Text Box 12">
          <a:extLst>
            <a:ext uri="{FF2B5EF4-FFF2-40B4-BE49-F238E27FC236}">
              <a16:creationId xmlns="" xmlns:a16="http://schemas.microsoft.com/office/drawing/2014/main" id="{00000000-0008-0000-0200-0000BB000000}"/>
            </a:ext>
          </a:extLst>
        </xdr:cNvPr>
        <xdr:cNvSpPr txBox="1">
          <a:spLocks noChangeArrowheads="1"/>
        </xdr:cNvSpPr>
      </xdr:nvSpPr>
      <xdr:spPr bwMode="auto">
        <a:xfrm>
          <a:off x="3162300" y="419862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188" name="Text Box 10">
          <a:extLst>
            <a:ext uri="{FF2B5EF4-FFF2-40B4-BE49-F238E27FC236}">
              <a16:creationId xmlns="" xmlns:a16="http://schemas.microsoft.com/office/drawing/2014/main" id="{00000000-0008-0000-0200-0000BC00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189" name="Text Box 11">
          <a:extLst>
            <a:ext uri="{FF2B5EF4-FFF2-40B4-BE49-F238E27FC236}">
              <a16:creationId xmlns="" xmlns:a16="http://schemas.microsoft.com/office/drawing/2014/main" id="{00000000-0008-0000-0200-0000BD00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190" name="Text Box 12">
          <a:extLst>
            <a:ext uri="{FF2B5EF4-FFF2-40B4-BE49-F238E27FC236}">
              <a16:creationId xmlns="" xmlns:a16="http://schemas.microsoft.com/office/drawing/2014/main" id="{00000000-0008-0000-0200-0000BE00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191" name="Text Box 10">
          <a:extLst>
            <a:ext uri="{FF2B5EF4-FFF2-40B4-BE49-F238E27FC236}">
              <a16:creationId xmlns="" xmlns:a16="http://schemas.microsoft.com/office/drawing/2014/main" id="{00000000-0008-0000-0200-0000BF00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192" name="Text Box 11">
          <a:extLst>
            <a:ext uri="{FF2B5EF4-FFF2-40B4-BE49-F238E27FC236}">
              <a16:creationId xmlns="" xmlns:a16="http://schemas.microsoft.com/office/drawing/2014/main" id="{00000000-0008-0000-0200-0000C000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193" name="Text Box 12">
          <a:extLst>
            <a:ext uri="{FF2B5EF4-FFF2-40B4-BE49-F238E27FC236}">
              <a16:creationId xmlns="" xmlns:a16="http://schemas.microsoft.com/office/drawing/2014/main" id="{00000000-0008-0000-0200-0000C100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194" name="Text Box 10">
          <a:extLst>
            <a:ext uri="{FF2B5EF4-FFF2-40B4-BE49-F238E27FC236}">
              <a16:creationId xmlns="" xmlns:a16="http://schemas.microsoft.com/office/drawing/2014/main" id="{00000000-0008-0000-0200-0000C200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195" name="Text Box 11">
          <a:extLst>
            <a:ext uri="{FF2B5EF4-FFF2-40B4-BE49-F238E27FC236}">
              <a16:creationId xmlns="" xmlns:a16="http://schemas.microsoft.com/office/drawing/2014/main" id="{00000000-0008-0000-0200-0000C300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196" name="Text Box 12">
          <a:extLst>
            <a:ext uri="{FF2B5EF4-FFF2-40B4-BE49-F238E27FC236}">
              <a16:creationId xmlns="" xmlns:a16="http://schemas.microsoft.com/office/drawing/2014/main" id="{00000000-0008-0000-0200-0000C400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197" name="Text Box 10">
          <a:extLst>
            <a:ext uri="{FF2B5EF4-FFF2-40B4-BE49-F238E27FC236}">
              <a16:creationId xmlns="" xmlns:a16="http://schemas.microsoft.com/office/drawing/2014/main" id="{00000000-0008-0000-0200-0000C500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198" name="Text Box 11">
          <a:extLst>
            <a:ext uri="{FF2B5EF4-FFF2-40B4-BE49-F238E27FC236}">
              <a16:creationId xmlns="" xmlns:a16="http://schemas.microsoft.com/office/drawing/2014/main" id="{00000000-0008-0000-0200-0000C600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199" name="Text Box 12">
          <a:extLst>
            <a:ext uri="{FF2B5EF4-FFF2-40B4-BE49-F238E27FC236}">
              <a16:creationId xmlns="" xmlns:a16="http://schemas.microsoft.com/office/drawing/2014/main" id="{00000000-0008-0000-0200-0000C700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200" name="Text Box 10">
          <a:extLst>
            <a:ext uri="{FF2B5EF4-FFF2-40B4-BE49-F238E27FC236}">
              <a16:creationId xmlns="" xmlns:a16="http://schemas.microsoft.com/office/drawing/2014/main" id="{00000000-0008-0000-0200-0000C800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201" name="Text Box 11">
          <a:extLst>
            <a:ext uri="{FF2B5EF4-FFF2-40B4-BE49-F238E27FC236}">
              <a16:creationId xmlns="" xmlns:a16="http://schemas.microsoft.com/office/drawing/2014/main" id="{00000000-0008-0000-0200-0000C900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202" name="Text Box 12">
          <a:extLst>
            <a:ext uri="{FF2B5EF4-FFF2-40B4-BE49-F238E27FC236}">
              <a16:creationId xmlns="" xmlns:a16="http://schemas.microsoft.com/office/drawing/2014/main" id="{00000000-0008-0000-0200-0000CA00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203" name="Text Box 10">
          <a:extLst>
            <a:ext uri="{FF2B5EF4-FFF2-40B4-BE49-F238E27FC236}">
              <a16:creationId xmlns="" xmlns:a16="http://schemas.microsoft.com/office/drawing/2014/main" id="{00000000-0008-0000-0200-0000CB00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204" name="Text Box 11">
          <a:extLst>
            <a:ext uri="{FF2B5EF4-FFF2-40B4-BE49-F238E27FC236}">
              <a16:creationId xmlns="" xmlns:a16="http://schemas.microsoft.com/office/drawing/2014/main" id="{00000000-0008-0000-0200-0000CC00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205" name="Text Box 12">
          <a:extLst>
            <a:ext uri="{FF2B5EF4-FFF2-40B4-BE49-F238E27FC236}">
              <a16:creationId xmlns="" xmlns:a16="http://schemas.microsoft.com/office/drawing/2014/main" id="{00000000-0008-0000-0200-0000CD00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206" name="Text Box 10">
          <a:extLst>
            <a:ext uri="{FF2B5EF4-FFF2-40B4-BE49-F238E27FC236}">
              <a16:creationId xmlns="" xmlns:a16="http://schemas.microsoft.com/office/drawing/2014/main" id="{00000000-0008-0000-0200-0000CE00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207" name="Text Box 11">
          <a:extLst>
            <a:ext uri="{FF2B5EF4-FFF2-40B4-BE49-F238E27FC236}">
              <a16:creationId xmlns="" xmlns:a16="http://schemas.microsoft.com/office/drawing/2014/main" id="{00000000-0008-0000-0200-0000CF00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208" name="Text Box 12">
          <a:extLst>
            <a:ext uri="{FF2B5EF4-FFF2-40B4-BE49-F238E27FC236}">
              <a16:creationId xmlns="" xmlns:a16="http://schemas.microsoft.com/office/drawing/2014/main" id="{00000000-0008-0000-0200-0000D000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209" name="Text Box 10">
          <a:extLst>
            <a:ext uri="{FF2B5EF4-FFF2-40B4-BE49-F238E27FC236}">
              <a16:creationId xmlns="" xmlns:a16="http://schemas.microsoft.com/office/drawing/2014/main" id="{00000000-0008-0000-0200-0000D100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210" name="Text Box 11">
          <a:extLst>
            <a:ext uri="{FF2B5EF4-FFF2-40B4-BE49-F238E27FC236}">
              <a16:creationId xmlns="" xmlns:a16="http://schemas.microsoft.com/office/drawing/2014/main" id="{00000000-0008-0000-0200-0000D200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211" name="Text Box 12">
          <a:extLst>
            <a:ext uri="{FF2B5EF4-FFF2-40B4-BE49-F238E27FC236}">
              <a16:creationId xmlns="" xmlns:a16="http://schemas.microsoft.com/office/drawing/2014/main" id="{00000000-0008-0000-0200-0000D300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212" name="Text Box 10">
          <a:extLst>
            <a:ext uri="{FF2B5EF4-FFF2-40B4-BE49-F238E27FC236}">
              <a16:creationId xmlns="" xmlns:a16="http://schemas.microsoft.com/office/drawing/2014/main" id="{00000000-0008-0000-0200-0000D400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213" name="Text Box 11">
          <a:extLst>
            <a:ext uri="{FF2B5EF4-FFF2-40B4-BE49-F238E27FC236}">
              <a16:creationId xmlns="" xmlns:a16="http://schemas.microsoft.com/office/drawing/2014/main" id="{00000000-0008-0000-0200-0000D500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214" name="Text Box 12">
          <a:extLst>
            <a:ext uri="{FF2B5EF4-FFF2-40B4-BE49-F238E27FC236}">
              <a16:creationId xmlns="" xmlns:a16="http://schemas.microsoft.com/office/drawing/2014/main" id="{00000000-0008-0000-0200-0000D600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215" name="Text Box 10">
          <a:extLst>
            <a:ext uri="{FF2B5EF4-FFF2-40B4-BE49-F238E27FC236}">
              <a16:creationId xmlns="" xmlns:a16="http://schemas.microsoft.com/office/drawing/2014/main" id="{00000000-0008-0000-0200-0000D700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216" name="Text Box 11">
          <a:extLst>
            <a:ext uri="{FF2B5EF4-FFF2-40B4-BE49-F238E27FC236}">
              <a16:creationId xmlns="" xmlns:a16="http://schemas.microsoft.com/office/drawing/2014/main" id="{00000000-0008-0000-0200-0000D800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217" name="Text Box 12">
          <a:extLst>
            <a:ext uri="{FF2B5EF4-FFF2-40B4-BE49-F238E27FC236}">
              <a16:creationId xmlns="" xmlns:a16="http://schemas.microsoft.com/office/drawing/2014/main" id="{00000000-0008-0000-0200-0000D900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218" name="Text Box 10">
          <a:extLst>
            <a:ext uri="{FF2B5EF4-FFF2-40B4-BE49-F238E27FC236}">
              <a16:creationId xmlns="" xmlns:a16="http://schemas.microsoft.com/office/drawing/2014/main" id="{00000000-0008-0000-0200-0000DA00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219" name="Text Box 11">
          <a:extLst>
            <a:ext uri="{FF2B5EF4-FFF2-40B4-BE49-F238E27FC236}">
              <a16:creationId xmlns="" xmlns:a16="http://schemas.microsoft.com/office/drawing/2014/main" id="{00000000-0008-0000-0200-0000DB00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220" name="Text Box 12">
          <a:extLst>
            <a:ext uri="{FF2B5EF4-FFF2-40B4-BE49-F238E27FC236}">
              <a16:creationId xmlns="" xmlns:a16="http://schemas.microsoft.com/office/drawing/2014/main" id="{00000000-0008-0000-0200-0000DC00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85725</xdr:colOff>
      <xdr:row>30</xdr:row>
      <xdr:rowOff>238125</xdr:rowOff>
    </xdr:to>
    <xdr:sp macro="" textlink="">
      <xdr:nvSpPr>
        <xdr:cNvPr id="221" name="Text Box 10">
          <a:extLst>
            <a:ext uri="{FF2B5EF4-FFF2-40B4-BE49-F238E27FC236}">
              <a16:creationId xmlns="" xmlns:a16="http://schemas.microsoft.com/office/drawing/2014/main" id="{00000000-0008-0000-0200-0000DD000000}"/>
            </a:ext>
          </a:extLst>
        </xdr:cNvPr>
        <xdr:cNvSpPr txBox="1">
          <a:spLocks noChangeArrowheads="1"/>
        </xdr:cNvSpPr>
      </xdr:nvSpPr>
      <xdr:spPr bwMode="auto">
        <a:xfrm>
          <a:off x="3162300" y="419862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85725</xdr:colOff>
      <xdr:row>30</xdr:row>
      <xdr:rowOff>238125</xdr:rowOff>
    </xdr:to>
    <xdr:sp macro="" textlink="">
      <xdr:nvSpPr>
        <xdr:cNvPr id="222" name="Text Box 11">
          <a:extLst>
            <a:ext uri="{FF2B5EF4-FFF2-40B4-BE49-F238E27FC236}">
              <a16:creationId xmlns="" xmlns:a16="http://schemas.microsoft.com/office/drawing/2014/main" id="{00000000-0008-0000-0200-0000DE000000}"/>
            </a:ext>
          </a:extLst>
        </xdr:cNvPr>
        <xdr:cNvSpPr txBox="1">
          <a:spLocks noChangeArrowheads="1"/>
        </xdr:cNvSpPr>
      </xdr:nvSpPr>
      <xdr:spPr bwMode="auto">
        <a:xfrm>
          <a:off x="3162300" y="419862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85725</xdr:colOff>
      <xdr:row>30</xdr:row>
      <xdr:rowOff>238125</xdr:rowOff>
    </xdr:to>
    <xdr:sp macro="" textlink="">
      <xdr:nvSpPr>
        <xdr:cNvPr id="223" name="Text Box 12">
          <a:extLst>
            <a:ext uri="{FF2B5EF4-FFF2-40B4-BE49-F238E27FC236}">
              <a16:creationId xmlns="" xmlns:a16="http://schemas.microsoft.com/office/drawing/2014/main" id="{00000000-0008-0000-0200-0000DF000000}"/>
            </a:ext>
          </a:extLst>
        </xdr:cNvPr>
        <xdr:cNvSpPr txBox="1">
          <a:spLocks noChangeArrowheads="1"/>
        </xdr:cNvSpPr>
      </xdr:nvSpPr>
      <xdr:spPr bwMode="auto">
        <a:xfrm>
          <a:off x="3162300" y="419862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224" name="Text Box 10">
          <a:extLst>
            <a:ext uri="{FF2B5EF4-FFF2-40B4-BE49-F238E27FC236}">
              <a16:creationId xmlns="" xmlns:a16="http://schemas.microsoft.com/office/drawing/2014/main" id="{00000000-0008-0000-0200-0000E000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225" name="Text Box 11">
          <a:extLst>
            <a:ext uri="{FF2B5EF4-FFF2-40B4-BE49-F238E27FC236}">
              <a16:creationId xmlns="" xmlns:a16="http://schemas.microsoft.com/office/drawing/2014/main" id="{00000000-0008-0000-0200-0000E100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226" name="Text Box 12">
          <a:extLst>
            <a:ext uri="{FF2B5EF4-FFF2-40B4-BE49-F238E27FC236}">
              <a16:creationId xmlns="" xmlns:a16="http://schemas.microsoft.com/office/drawing/2014/main" id="{00000000-0008-0000-0200-0000E200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85725</xdr:colOff>
      <xdr:row>30</xdr:row>
      <xdr:rowOff>238125</xdr:rowOff>
    </xdr:to>
    <xdr:sp macro="" textlink="">
      <xdr:nvSpPr>
        <xdr:cNvPr id="227" name="Text Box 10">
          <a:extLst>
            <a:ext uri="{FF2B5EF4-FFF2-40B4-BE49-F238E27FC236}">
              <a16:creationId xmlns="" xmlns:a16="http://schemas.microsoft.com/office/drawing/2014/main" id="{00000000-0008-0000-0200-0000E3000000}"/>
            </a:ext>
          </a:extLst>
        </xdr:cNvPr>
        <xdr:cNvSpPr txBox="1">
          <a:spLocks noChangeArrowheads="1"/>
        </xdr:cNvSpPr>
      </xdr:nvSpPr>
      <xdr:spPr bwMode="auto">
        <a:xfrm>
          <a:off x="3162300" y="419862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85725</xdr:colOff>
      <xdr:row>30</xdr:row>
      <xdr:rowOff>238125</xdr:rowOff>
    </xdr:to>
    <xdr:sp macro="" textlink="">
      <xdr:nvSpPr>
        <xdr:cNvPr id="228" name="Text Box 11">
          <a:extLst>
            <a:ext uri="{FF2B5EF4-FFF2-40B4-BE49-F238E27FC236}">
              <a16:creationId xmlns="" xmlns:a16="http://schemas.microsoft.com/office/drawing/2014/main" id="{00000000-0008-0000-0200-0000E4000000}"/>
            </a:ext>
          </a:extLst>
        </xdr:cNvPr>
        <xdr:cNvSpPr txBox="1">
          <a:spLocks noChangeArrowheads="1"/>
        </xdr:cNvSpPr>
      </xdr:nvSpPr>
      <xdr:spPr bwMode="auto">
        <a:xfrm>
          <a:off x="3162300" y="419862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85725</xdr:colOff>
      <xdr:row>30</xdr:row>
      <xdr:rowOff>238125</xdr:rowOff>
    </xdr:to>
    <xdr:sp macro="" textlink="">
      <xdr:nvSpPr>
        <xdr:cNvPr id="229" name="Text Box 12">
          <a:extLst>
            <a:ext uri="{FF2B5EF4-FFF2-40B4-BE49-F238E27FC236}">
              <a16:creationId xmlns="" xmlns:a16="http://schemas.microsoft.com/office/drawing/2014/main" id="{00000000-0008-0000-0200-0000E5000000}"/>
            </a:ext>
          </a:extLst>
        </xdr:cNvPr>
        <xdr:cNvSpPr txBox="1">
          <a:spLocks noChangeArrowheads="1"/>
        </xdr:cNvSpPr>
      </xdr:nvSpPr>
      <xdr:spPr bwMode="auto">
        <a:xfrm>
          <a:off x="3162300" y="419862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230" name="Text Box 10">
          <a:extLst>
            <a:ext uri="{FF2B5EF4-FFF2-40B4-BE49-F238E27FC236}">
              <a16:creationId xmlns="" xmlns:a16="http://schemas.microsoft.com/office/drawing/2014/main" id="{00000000-0008-0000-0200-0000E600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231" name="Text Box 11">
          <a:extLst>
            <a:ext uri="{FF2B5EF4-FFF2-40B4-BE49-F238E27FC236}">
              <a16:creationId xmlns="" xmlns:a16="http://schemas.microsoft.com/office/drawing/2014/main" id="{00000000-0008-0000-0200-0000E700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232" name="Text Box 12">
          <a:extLst>
            <a:ext uri="{FF2B5EF4-FFF2-40B4-BE49-F238E27FC236}">
              <a16:creationId xmlns="" xmlns:a16="http://schemas.microsoft.com/office/drawing/2014/main" id="{00000000-0008-0000-0200-0000E800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233" name="Text Box 10">
          <a:extLst>
            <a:ext uri="{FF2B5EF4-FFF2-40B4-BE49-F238E27FC236}">
              <a16:creationId xmlns="" xmlns:a16="http://schemas.microsoft.com/office/drawing/2014/main" id="{00000000-0008-0000-0200-0000E900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234" name="Text Box 11">
          <a:extLst>
            <a:ext uri="{FF2B5EF4-FFF2-40B4-BE49-F238E27FC236}">
              <a16:creationId xmlns="" xmlns:a16="http://schemas.microsoft.com/office/drawing/2014/main" id="{00000000-0008-0000-0200-0000EA00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235" name="Text Box 12">
          <a:extLst>
            <a:ext uri="{FF2B5EF4-FFF2-40B4-BE49-F238E27FC236}">
              <a16:creationId xmlns="" xmlns:a16="http://schemas.microsoft.com/office/drawing/2014/main" id="{00000000-0008-0000-0200-0000EB00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236" name="Text Box 10">
          <a:extLst>
            <a:ext uri="{FF2B5EF4-FFF2-40B4-BE49-F238E27FC236}">
              <a16:creationId xmlns="" xmlns:a16="http://schemas.microsoft.com/office/drawing/2014/main" id="{00000000-0008-0000-0200-0000EC00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237" name="Text Box 11">
          <a:extLst>
            <a:ext uri="{FF2B5EF4-FFF2-40B4-BE49-F238E27FC236}">
              <a16:creationId xmlns="" xmlns:a16="http://schemas.microsoft.com/office/drawing/2014/main" id="{00000000-0008-0000-0200-0000ED00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238" name="Text Box 12">
          <a:extLst>
            <a:ext uri="{FF2B5EF4-FFF2-40B4-BE49-F238E27FC236}">
              <a16:creationId xmlns="" xmlns:a16="http://schemas.microsoft.com/office/drawing/2014/main" id="{00000000-0008-0000-0200-0000EE00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239" name="Text Box 10">
          <a:extLst>
            <a:ext uri="{FF2B5EF4-FFF2-40B4-BE49-F238E27FC236}">
              <a16:creationId xmlns="" xmlns:a16="http://schemas.microsoft.com/office/drawing/2014/main" id="{00000000-0008-0000-0200-0000EF00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240" name="Text Box 11">
          <a:extLst>
            <a:ext uri="{FF2B5EF4-FFF2-40B4-BE49-F238E27FC236}">
              <a16:creationId xmlns="" xmlns:a16="http://schemas.microsoft.com/office/drawing/2014/main" id="{00000000-0008-0000-0200-0000F000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241" name="Text Box 12">
          <a:extLst>
            <a:ext uri="{FF2B5EF4-FFF2-40B4-BE49-F238E27FC236}">
              <a16:creationId xmlns="" xmlns:a16="http://schemas.microsoft.com/office/drawing/2014/main" id="{00000000-0008-0000-0200-0000F100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242" name="Text Box 10">
          <a:extLst>
            <a:ext uri="{FF2B5EF4-FFF2-40B4-BE49-F238E27FC236}">
              <a16:creationId xmlns="" xmlns:a16="http://schemas.microsoft.com/office/drawing/2014/main" id="{00000000-0008-0000-0200-0000F200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243" name="Text Box 11">
          <a:extLst>
            <a:ext uri="{FF2B5EF4-FFF2-40B4-BE49-F238E27FC236}">
              <a16:creationId xmlns="" xmlns:a16="http://schemas.microsoft.com/office/drawing/2014/main" id="{00000000-0008-0000-0200-0000F300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244" name="Text Box 12">
          <a:extLst>
            <a:ext uri="{FF2B5EF4-FFF2-40B4-BE49-F238E27FC236}">
              <a16:creationId xmlns="" xmlns:a16="http://schemas.microsoft.com/office/drawing/2014/main" id="{00000000-0008-0000-0200-0000F400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245" name="Text Box 10">
          <a:extLst>
            <a:ext uri="{FF2B5EF4-FFF2-40B4-BE49-F238E27FC236}">
              <a16:creationId xmlns="" xmlns:a16="http://schemas.microsoft.com/office/drawing/2014/main" id="{00000000-0008-0000-0200-0000F500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246" name="Text Box 11">
          <a:extLst>
            <a:ext uri="{FF2B5EF4-FFF2-40B4-BE49-F238E27FC236}">
              <a16:creationId xmlns="" xmlns:a16="http://schemas.microsoft.com/office/drawing/2014/main" id="{00000000-0008-0000-0200-0000F600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247" name="Text Box 12">
          <a:extLst>
            <a:ext uri="{FF2B5EF4-FFF2-40B4-BE49-F238E27FC236}">
              <a16:creationId xmlns="" xmlns:a16="http://schemas.microsoft.com/office/drawing/2014/main" id="{00000000-0008-0000-0200-0000F700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248" name="Text Box 10">
          <a:extLst>
            <a:ext uri="{FF2B5EF4-FFF2-40B4-BE49-F238E27FC236}">
              <a16:creationId xmlns="" xmlns:a16="http://schemas.microsoft.com/office/drawing/2014/main" id="{00000000-0008-0000-0200-0000F800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249" name="Text Box 11">
          <a:extLst>
            <a:ext uri="{FF2B5EF4-FFF2-40B4-BE49-F238E27FC236}">
              <a16:creationId xmlns="" xmlns:a16="http://schemas.microsoft.com/office/drawing/2014/main" id="{00000000-0008-0000-0200-0000F900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250" name="Text Box 12">
          <a:extLst>
            <a:ext uri="{FF2B5EF4-FFF2-40B4-BE49-F238E27FC236}">
              <a16:creationId xmlns="" xmlns:a16="http://schemas.microsoft.com/office/drawing/2014/main" id="{00000000-0008-0000-0200-0000FA00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251" name="Text Box 10">
          <a:extLst>
            <a:ext uri="{FF2B5EF4-FFF2-40B4-BE49-F238E27FC236}">
              <a16:creationId xmlns="" xmlns:a16="http://schemas.microsoft.com/office/drawing/2014/main" id="{00000000-0008-0000-0200-0000FB00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252" name="Text Box 11">
          <a:extLst>
            <a:ext uri="{FF2B5EF4-FFF2-40B4-BE49-F238E27FC236}">
              <a16:creationId xmlns="" xmlns:a16="http://schemas.microsoft.com/office/drawing/2014/main" id="{00000000-0008-0000-0200-0000FC00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253" name="Text Box 12">
          <a:extLst>
            <a:ext uri="{FF2B5EF4-FFF2-40B4-BE49-F238E27FC236}">
              <a16:creationId xmlns="" xmlns:a16="http://schemas.microsoft.com/office/drawing/2014/main" id="{00000000-0008-0000-0200-0000FD00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254" name="Text Box 10">
          <a:extLst>
            <a:ext uri="{FF2B5EF4-FFF2-40B4-BE49-F238E27FC236}">
              <a16:creationId xmlns="" xmlns:a16="http://schemas.microsoft.com/office/drawing/2014/main" id="{00000000-0008-0000-0200-0000FE00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255" name="Text Box 11">
          <a:extLst>
            <a:ext uri="{FF2B5EF4-FFF2-40B4-BE49-F238E27FC236}">
              <a16:creationId xmlns="" xmlns:a16="http://schemas.microsoft.com/office/drawing/2014/main" id="{00000000-0008-0000-0200-0000FF00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256" name="Text Box 12">
          <a:extLst>
            <a:ext uri="{FF2B5EF4-FFF2-40B4-BE49-F238E27FC236}">
              <a16:creationId xmlns="" xmlns:a16="http://schemas.microsoft.com/office/drawing/2014/main" id="{00000000-0008-0000-0200-000000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257" name="Text Box 10">
          <a:extLst>
            <a:ext uri="{FF2B5EF4-FFF2-40B4-BE49-F238E27FC236}">
              <a16:creationId xmlns="" xmlns:a16="http://schemas.microsoft.com/office/drawing/2014/main" id="{00000000-0008-0000-0200-000001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258" name="Text Box 11">
          <a:extLst>
            <a:ext uri="{FF2B5EF4-FFF2-40B4-BE49-F238E27FC236}">
              <a16:creationId xmlns="" xmlns:a16="http://schemas.microsoft.com/office/drawing/2014/main" id="{00000000-0008-0000-0200-000002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259" name="Text Box 12">
          <a:extLst>
            <a:ext uri="{FF2B5EF4-FFF2-40B4-BE49-F238E27FC236}">
              <a16:creationId xmlns="" xmlns:a16="http://schemas.microsoft.com/office/drawing/2014/main" id="{00000000-0008-0000-0200-000003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85725</xdr:colOff>
      <xdr:row>30</xdr:row>
      <xdr:rowOff>238125</xdr:rowOff>
    </xdr:to>
    <xdr:sp macro="" textlink="">
      <xdr:nvSpPr>
        <xdr:cNvPr id="260" name="Text Box 10">
          <a:extLst>
            <a:ext uri="{FF2B5EF4-FFF2-40B4-BE49-F238E27FC236}">
              <a16:creationId xmlns="" xmlns:a16="http://schemas.microsoft.com/office/drawing/2014/main" id="{00000000-0008-0000-0200-000004010000}"/>
            </a:ext>
          </a:extLst>
        </xdr:cNvPr>
        <xdr:cNvSpPr txBox="1">
          <a:spLocks noChangeArrowheads="1"/>
        </xdr:cNvSpPr>
      </xdr:nvSpPr>
      <xdr:spPr bwMode="auto">
        <a:xfrm>
          <a:off x="3162300" y="419862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85725</xdr:colOff>
      <xdr:row>30</xdr:row>
      <xdr:rowOff>238125</xdr:rowOff>
    </xdr:to>
    <xdr:sp macro="" textlink="">
      <xdr:nvSpPr>
        <xdr:cNvPr id="261" name="Text Box 11">
          <a:extLst>
            <a:ext uri="{FF2B5EF4-FFF2-40B4-BE49-F238E27FC236}">
              <a16:creationId xmlns="" xmlns:a16="http://schemas.microsoft.com/office/drawing/2014/main" id="{00000000-0008-0000-0200-000005010000}"/>
            </a:ext>
          </a:extLst>
        </xdr:cNvPr>
        <xdr:cNvSpPr txBox="1">
          <a:spLocks noChangeArrowheads="1"/>
        </xdr:cNvSpPr>
      </xdr:nvSpPr>
      <xdr:spPr bwMode="auto">
        <a:xfrm>
          <a:off x="3162300" y="419862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85725</xdr:colOff>
      <xdr:row>30</xdr:row>
      <xdr:rowOff>238125</xdr:rowOff>
    </xdr:to>
    <xdr:sp macro="" textlink="">
      <xdr:nvSpPr>
        <xdr:cNvPr id="262" name="Text Box 12">
          <a:extLst>
            <a:ext uri="{FF2B5EF4-FFF2-40B4-BE49-F238E27FC236}">
              <a16:creationId xmlns="" xmlns:a16="http://schemas.microsoft.com/office/drawing/2014/main" id="{00000000-0008-0000-0200-000006010000}"/>
            </a:ext>
          </a:extLst>
        </xdr:cNvPr>
        <xdr:cNvSpPr txBox="1">
          <a:spLocks noChangeArrowheads="1"/>
        </xdr:cNvSpPr>
      </xdr:nvSpPr>
      <xdr:spPr bwMode="auto">
        <a:xfrm>
          <a:off x="3162300" y="419862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85725</xdr:colOff>
      <xdr:row>30</xdr:row>
      <xdr:rowOff>238125</xdr:rowOff>
    </xdr:to>
    <xdr:sp macro="" textlink="">
      <xdr:nvSpPr>
        <xdr:cNvPr id="263" name="Text Box 10">
          <a:extLst>
            <a:ext uri="{FF2B5EF4-FFF2-40B4-BE49-F238E27FC236}">
              <a16:creationId xmlns="" xmlns:a16="http://schemas.microsoft.com/office/drawing/2014/main" id="{00000000-0008-0000-0200-000007010000}"/>
            </a:ext>
          </a:extLst>
        </xdr:cNvPr>
        <xdr:cNvSpPr txBox="1">
          <a:spLocks noChangeArrowheads="1"/>
        </xdr:cNvSpPr>
      </xdr:nvSpPr>
      <xdr:spPr bwMode="auto">
        <a:xfrm>
          <a:off x="3162300" y="419862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85725</xdr:colOff>
      <xdr:row>30</xdr:row>
      <xdr:rowOff>238125</xdr:rowOff>
    </xdr:to>
    <xdr:sp macro="" textlink="">
      <xdr:nvSpPr>
        <xdr:cNvPr id="264" name="Text Box 11">
          <a:extLst>
            <a:ext uri="{FF2B5EF4-FFF2-40B4-BE49-F238E27FC236}">
              <a16:creationId xmlns="" xmlns:a16="http://schemas.microsoft.com/office/drawing/2014/main" id="{00000000-0008-0000-0200-000008010000}"/>
            </a:ext>
          </a:extLst>
        </xdr:cNvPr>
        <xdr:cNvSpPr txBox="1">
          <a:spLocks noChangeArrowheads="1"/>
        </xdr:cNvSpPr>
      </xdr:nvSpPr>
      <xdr:spPr bwMode="auto">
        <a:xfrm>
          <a:off x="3162300" y="419862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85725</xdr:colOff>
      <xdr:row>30</xdr:row>
      <xdr:rowOff>238125</xdr:rowOff>
    </xdr:to>
    <xdr:sp macro="" textlink="">
      <xdr:nvSpPr>
        <xdr:cNvPr id="265" name="Text Box 12">
          <a:extLst>
            <a:ext uri="{FF2B5EF4-FFF2-40B4-BE49-F238E27FC236}">
              <a16:creationId xmlns="" xmlns:a16="http://schemas.microsoft.com/office/drawing/2014/main" id="{00000000-0008-0000-0200-000009010000}"/>
            </a:ext>
          </a:extLst>
        </xdr:cNvPr>
        <xdr:cNvSpPr txBox="1">
          <a:spLocks noChangeArrowheads="1"/>
        </xdr:cNvSpPr>
      </xdr:nvSpPr>
      <xdr:spPr bwMode="auto">
        <a:xfrm>
          <a:off x="3162300" y="419862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266" name="Text Box 10">
          <a:extLst>
            <a:ext uri="{FF2B5EF4-FFF2-40B4-BE49-F238E27FC236}">
              <a16:creationId xmlns="" xmlns:a16="http://schemas.microsoft.com/office/drawing/2014/main" id="{00000000-0008-0000-0200-00000A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267" name="Text Box 11">
          <a:extLst>
            <a:ext uri="{FF2B5EF4-FFF2-40B4-BE49-F238E27FC236}">
              <a16:creationId xmlns="" xmlns:a16="http://schemas.microsoft.com/office/drawing/2014/main" id="{00000000-0008-0000-0200-00000B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268" name="Text Box 12">
          <a:extLst>
            <a:ext uri="{FF2B5EF4-FFF2-40B4-BE49-F238E27FC236}">
              <a16:creationId xmlns="" xmlns:a16="http://schemas.microsoft.com/office/drawing/2014/main" id="{00000000-0008-0000-0200-00000C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269" name="Text Box 10">
          <a:extLst>
            <a:ext uri="{FF2B5EF4-FFF2-40B4-BE49-F238E27FC236}">
              <a16:creationId xmlns="" xmlns:a16="http://schemas.microsoft.com/office/drawing/2014/main" id="{00000000-0008-0000-0200-00000D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270" name="Text Box 11">
          <a:extLst>
            <a:ext uri="{FF2B5EF4-FFF2-40B4-BE49-F238E27FC236}">
              <a16:creationId xmlns="" xmlns:a16="http://schemas.microsoft.com/office/drawing/2014/main" id="{00000000-0008-0000-0200-00000E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271" name="Text Box 12">
          <a:extLst>
            <a:ext uri="{FF2B5EF4-FFF2-40B4-BE49-F238E27FC236}">
              <a16:creationId xmlns="" xmlns:a16="http://schemas.microsoft.com/office/drawing/2014/main" id="{00000000-0008-0000-0200-00000F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272" name="Text Box 10">
          <a:extLst>
            <a:ext uri="{FF2B5EF4-FFF2-40B4-BE49-F238E27FC236}">
              <a16:creationId xmlns="" xmlns:a16="http://schemas.microsoft.com/office/drawing/2014/main" id="{00000000-0008-0000-0200-000010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273" name="Text Box 11">
          <a:extLst>
            <a:ext uri="{FF2B5EF4-FFF2-40B4-BE49-F238E27FC236}">
              <a16:creationId xmlns="" xmlns:a16="http://schemas.microsoft.com/office/drawing/2014/main" id="{00000000-0008-0000-0200-000011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274" name="Text Box 12">
          <a:extLst>
            <a:ext uri="{FF2B5EF4-FFF2-40B4-BE49-F238E27FC236}">
              <a16:creationId xmlns="" xmlns:a16="http://schemas.microsoft.com/office/drawing/2014/main" id="{00000000-0008-0000-0200-000012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275" name="Text Box 10">
          <a:extLst>
            <a:ext uri="{FF2B5EF4-FFF2-40B4-BE49-F238E27FC236}">
              <a16:creationId xmlns="" xmlns:a16="http://schemas.microsoft.com/office/drawing/2014/main" id="{00000000-0008-0000-0200-000013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276" name="Text Box 11">
          <a:extLst>
            <a:ext uri="{FF2B5EF4-FFF2-40B4-BE49-F238E27FC236}">
              <a16:creationId xmlns="" xmlns:a16="http://schemas.microsoft.com/office/drawing/2014/main" id="{00000000-0008-0000-0200-000014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277" name="Text Box 12">
          <a:extLst>
            <a:ext uri="{FF2B5EF4-FFF2-40B4-BE49-F238E27FC236}">
              <a16:creationId xmlns="" xmlns:a16="http://schemas.microsoft.com/office/drawing/2014/main" id="{00000000-0008-0000-0200-000015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278" name="Text Box 10">
          <a:extLst>
            <a:ext uri="{FF2B5EF4-FFF2-40B4-BE49-F238E27FC236}">
              <a16:creationId xmlns="" xmlns:a16="http://schemas.microsoft.com/office/drawing/2014/main" id="{00000000-0008-0000-0200-000016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279" name="Text Box 11">
          <a:extLst>
            <a:ext uri="{FF2B5EF4-FFF2-40B4-BE49-F238E27FC236}">
              <a16:creationId xmlns="" xmlns:a16="http://schemas.microsoft.com/office/drawing/2014/main" id="{00000000-0008-0000-0200-000017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280" name="Text Box 12">
          <a:extLst>
            <a:ext uri="{FF2B5EF4-FFF2-40B4-BE49-F238E27FC236}">
              <a16:creationId xmlns="" xmlns:a16="http://schemas.microsoft.com/office/drawing/2014/main" id="{00000000-0008-0000-0200-000018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281" name="Text Box 10">
          <a:extLst>
            <a:ext uri="{FF2B5EF4-FFF2-40B4-BE49-F238E27FC236}">
              <a16:creationId xmlns="" xmlns:a16="http://schemas.microsoft.com/office/drawing/2014/main" id="{00000000-0008-0000-0200-000019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282" name="Text Box 11">
          <a:extLst>
            <a:ext uri="{FF2B5EF4-FFF2-40B4-BE49-F238E27FC236}">
              <a16:creationId xmlns="" xmlns:a16="http://schemas.microsoft.com/office/drawing/2014/main" id="{00000000-0008-0000-0200-00001A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283" name="Text Box 12">
          <a:extLst>
            <a:ext uri="{FF2B5EF4-FFF2-40B4-BE49-F238E27FC236}">
              <a16:creationId xmlns="" xmlns:a16="http://schemas.microsoft.com/office/drawing/2014/main" id="{00000000-0008-0000-0200-00001B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284" name="Text Box 10">
          <a:extLst>
            <a:ext uri="{FF2B5EF4-FFF2-40B4-BE49-F238E27FC236}">
              <a16:creationId xmlns="" xmlns:a16="http://schemas.microsoft.com/office/drawing/2014/main" id="{00000000-0008-0000-0200-00001C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285" name="Text Box 11">
          <a:extLst>
            <a:ext uri="{FF2B5EF4-FFF2-40B4-BE49-F238E27FC236}">
              <a16:creationId xmlns="" xmlns:a16="http://schemas.microsoft.com/office/drawing/2014/main" id="{00000000-0008-0000-0200-00001D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286" name="Text Box 12">
          <a:extLst>
            <a:ext uri="{FF2B5EF4-FFF2-40B4-BE49-F238E27FC236}">
              <a16:creationId xmlns="" xmlns:a16="http://schemas.microsoft.com/office/drawing/2014/main" id="{00000000-0008-0000-0200-00001E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287" name="Text Box 10">
          <a:extLst>
            <a:ext uri="{FF2B5EF4-FFF2-40B4-BE49-F238E27FC236}">
              <a16:creationId xmlns="" xmlns:a16="http://schemas.microsoft.com/office/drawing/2014/main" id="{00000000-0008-0000-0200-00001F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288" name="Text Box 11">
          <a:extLst>
            <a:ext uri="{FF2B5EF4-FFF2-40B4-BE49-F238E27FC236}">
              <a16:creationId xmlns="" xmlns:a16="http://schemas.microsoft.com/office/drawing/2014/main" id="{00000000-0008-0000-0200-000020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289" name="Text Box 12">
          <a:extLst>
            <a:ext uri="{FF2B5EF4-FFF2-40B4-BE49-F238E27FC236}">
              <a16:creationId xmlns="" xmlns:a16="http://schemas.microsoft.com/office/drawing/2014/main" id="{00000000-0008-0000-0200-000021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290" name="Text Box 10">
          <a:extLst>
            <a:ext uri="{FF2B5EF4-FFF2-40B4-BE49-F238E27FC236}">
              <a16:creationId xmlns="" xmlns:a16="http://schemas.microsoft.com/office/drawing/2014/main" id="{00000000-0008-0000-0200-000022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291" name="Text Box 11">
          <a:extLst>
            <a:ext uri="{FF2B5EF4-FFF2-40B4-BE49-F238E27FC236}">
              <a16:creationId xmlns="" xmlns:a16="http://schemas.microsoft.com/office/drawing/2014/main" id="{00000000-0008-0000-0200-000023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292" name="Text Box 12">
          <a:extLst>
            <a:ext uri="{FF2B5EF4-FFF2-40B4-BE49-F238E27FC236}">
              <a16:creationId xmlns="" xmlns:a16="http://schemas.microsoft.com/office/drawing/2014/main" id="{00000000-0008-0000-0200-000024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293" name="Text Box 10">
          <a:extLst>
            <a:ext uri="{FF2B5EF4-FFF2-40B4-BE49-F238E27FC236}">
              <a16:creationId xmlns="" xmlns:a16="http://schemas.microsoft.com/office/drawing/2014/main" id="{00000000-0008-0000-0200-000025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294" name="Text Box 11">
          <a:extLst>
            <a:ext uri="{FF2B5EF4-FFF2-40B4-BE49-F238E27FC236}">
              <a16:creationId xmlns="" xmlns:a16="http://schemas.microsoft.com/office/drawing/2014/main" id="{00000000-0008-0000-0200-000026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295" name="Text Box 12">
          <a:extLst>
            <a:ext uri="{FF2B5EF4-FFF2-40B4-BE49-F238E27FC236}">
              <a16:creationId xmlns="" xmlns:a16="http://schemas.microsoft.com/office/drawing/2014/main" id="{00000000-0008-0000-0200-000027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296" name="Text Box 10">
          <a:extLst>
            <a:ext uri="{FF2B5EF4-FFF2-40B4-BE49-F238E27FC236}">
              <a16:creationId xmlns="" xmlns:a16="http://schemas.microsoft.com/office/drawing/2014/main" id="{00000000-0008-0000-0200-000028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297" name="Text Box 11">
          <a:extLst>
            <a:ext uri="{FF2B5EF4-FFF2-40B4-BE49-F238E27FC236}">
              <a16:creationId xmlns="" xmlns:a16="http://schemas.microsoft.com/office/drawing/2014/main" id="{00000000-0008-0000-0200-000029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298" name="Text Box 12">
          <a:extLst>
            <a:ext uri="{FF2B5EF4-FFF2-40B4-BE49-F238E27FC236}">
              <a16:creationId xmlns="" xmlns:a16="http://schemas.microsoft.com/office/drawing/2014/main" id="{00000000-0008-0000-0200-00002A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299" name="Text Box 10">
          <a:extLst>
            <a:ext uri="{FF2B5EF4-FFF2-40B4-BE49-F238E27FC236}">
              <a16:creationId xmlns="" xmlns:a16="http://schemas.microsoft.com/office/drawing/2014/main" id="{00000000-0008-0000-0200-00002B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300" name="Text Box 11">
          <a:extLst>
            <a:ext uri="{FF2B5EF4-FFF2-40B4-BE49-F238E27FC236}">
              <a16:creationId xmlns="" xmlns:a16="http://schemas.microsoft.com/office/drawing/2014/main" id="{00000000-0008-0000-0200-00002C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301" name="Text Box 12">
          <a:extLst>
            <a:ext uri="{FF2B5EF4-FFF2-40B4-BE49-F238E27FC236}">
              <a16:creationId xmlns="" xmlns:a16="http://schemas.microsoft.com/office/drawing/2014/main" id="{00000000-0008-0000-0200-00002D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302" name="Text Box 10">
          <a:extLst>
            <a:ext uri="{FF2B5EF4-FFF2-40B4-BE49-F238E27FC236}">
              <a16:creationId xmlns="" xmlns:a16="http://schemas.microsoft.com/office/drawing/2014/main" id="{00000000-0008-0000-0200-00002E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303" name="Text Box 11">
          <a:extLst>
            <a:ext uri="{FF2B5EF4-FFF2-40B4-BE49-F238E27FC236}">
              <a16:creationId xmlns="" xmlns:a16="http://schemas.microsoft.com/office/drawing/2014/main" id="{00000000-0008-0000-0200-00002F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304" name="Text Box 12">
          <a:extLst>
            <a:ext uri="{FF2B5EF4-FFF2-40B4-BE49-F238E27FC236}">
              <a16:creationId xmlns="" xmlns:a16="http://schemas.microsoft.com/office/drawing/2014/main" id="{00000000-0008-0000-0200-000030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305" name="Text Box 10">
          <a:extLst>
            <a:ext uri="{FF2B5EF4-FFF2-40B4-BE49-F238E27FC236}">
              <a16:creationId xmlns="" xmlns:a16="http://schemas.microsoft.com/office/drawing/2014/main" id="{00000000-0008-0000-0200-000031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306" name="Text Box 11">
          <a:extLst>
            <a:ext uri="{FF2B5EF4-FFF2-40B4-BE49-F238E27FC236}">
              <a16:creationId xmlns="" xmlns:a16="http://schemas.microsoft.com/office/drawing/2014/main" id="{00000000-0008-0000-0200-000032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307" name="Text Box 12">
          <a:extLst>
            <a:ext uri="{FF2B5EF4-FFF2-40B4-BE49-F238E27FC236}">
              <a16:creationId xmlns="" xmlns:a16="http://schemas.microsoft.com/office/drawing/2014/main" id="{00000000-0008-0000-0200-000033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308" name="Text Box 10">
          <a:extLst>
            <a:ext uri="{FF2B5EF4-FFF2-40B4-BE49-F238E27FC236}">
              <a16:creationId xmlns="" xmlns:a16="http://schemas.microsoft.com/office/drawing/2014/main" id="{00000000-0008-0000-0200-000034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309" name="Text Box 11">
          <a:extLst>
            <a:ext uri="{FF2B5EF4-FFF2-40B4-BE49-F238E27FC236}">
              <a16:creationId xmlns="" xmlns:a16="http://schemas.microsoft.com/office/drawing/2014/main" id="{00000000-0008-0000-0200-000035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310" name="Text Box 12">
          <a:extLst>
            <a:ext uri="{FF2B5EF4-FFF2-40B4-BE49-F238E27FC236}">
              <a16:creationId xmlns="" xmlns:a16="http://schemas.microsoft.com/office/drawing/2014/main" id="{00000000-0008-0000-0200-000036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311" name="Text Box 10">
          <a:extLst>
            <a:ext uri="{FF2B5EF4-FFF2-40B4-BE49-F238E27FC236}">
              <a16:creationId xmlns="" xmlns:a16="http://schemas.microsoft.com/office/drawing/2014/main" id="{00000000-0008-0000-0200-000037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312" name="Text Box 11">
          <a:extLst>
            <a:ext uri="{FF2B5EF4-FFF2-40B4-BE49-F238E27FC236}">
              <a16:creationId xmlns="" xmlns:a16="http://schemas.microsoft.com/office/drawing/2014/main" id="{00000000-0008-0000-0200-000038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313" name="Text Box 12">
          <a:extLst>
            <a:ext uri="{FF2B5EF4-FFF2-40B4-BE49-F238E27FC236}">
              <a16:creationId xmlns="" xmlns:a16="http://schemas.microsoft.com/office/drawing/2014/main" id="{00000000-0008-0000-0200-000039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314" name="Text Box 10">
          <a:extLst>
            <a:ext uri="{FF2B5EF4-FFF2-40B4-BE49-F238E27FC236}">
              <a16:creationId xmlns="" xmlns:a16="http://schemas.microsoft.com/office/drawing/2014/main" id="{00000000-0008-0000-0200-00003A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315" name="Text Box 11">
          <a:extLst>
            <a:ext uri="{FF2B5EF4-FFF2-40B4-BE49-F238E27FC236}">
              <a16:creationId xmlns="" xmlns:a16="http://schemas.microsoft.com/office/drawing/2014/main" id="{00000000-0008-0000-0200-00003B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316" name="Text Box 12">
          <a:extLst>
            <a:ext uri="{FF2B5EF4-FFF2-40B4-BE49-F238E27FC236}">
              <a16:creationId xmlns="" xmlns:a16="http://schemas.microsoft.com/office/drawing/2014/main" id="{00000000-0008-0000-0200-00003C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317" name="Text Box 10">
          <a:extLst>
            <a:ext uri="{FF2B5EF4-FFF2-40B4-BE49-F238E27FC236}">
              <a16:creationId xmlns="" xmlns:a16="http://schemas.microsoft.com/office/drawing/2014/main" id="{00000000-0008-0000-0200-00003D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318" name="Text Box 11">
          <a:extLst>
            <a:ext uri="{FF2B5EF4-FFF2-40B4-BE49-F238E27FC236}">
              <a16:creationId xmlns="" xmlns:a16="http://schemas.microsoft.com/office/drawing/2014/main" id="{00000000-0008-0000-0200-00003E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319" name="Text Box 12">
          <a:extLst>
            <a:ext uri="{FF2B5EF4-FFF2-40B4-BE49-F238E27FC236}">
              <a16:creationId xmlns="" xmlns:a16="http://schemas.microsoft.com/office/drawing/2014/main" id="{00000000-0008-0000-0200-00003F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320" name="Text Box 10">
          <a:extLst>
            <a:ext uri="{FF2B5EF4-FFF2-40B4-BE49-F238E27FC236}">
              <a16:creationId xmlns="" xmlns:a16="http://schemas.microsoft.com/office/drawing/2014/main" id="{00000000-0008-0000-0200-000040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321" name="Text Box 11">
          <a:extLst>
            <a:ext uri="{FF2B5EF4-FFF2-40B4-BE49-F238E27FC236}">
              <a16:creationId xmlns="" xmlns:a16="http://schemas.microsoft.com/office/drawing/2014/main" id="{00000000-0008-0000-0200-000041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322" name="Text Box 12">
          <a:extLst>
            <a:ext uri="{FF2B5EF4-FFF2-40B4-BE49-F238E27FC236}">
              <a16:creationId xmlns="" xmlns:a16="http://schemas.microsoft.com/office/drawing/2014/main" id="{00000000-0008-0000-0200-000042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323" name="Text Box 10">
          <a:extLst>
            <a:ext uri="{FF2B5EF4-FFF2-40B4-BE49-F238E27FC236}">
              <a16:creationId xmlns="" xmlns:a16="http://schemas.microsoft.com/office/drawing/2014/main" id="{00000000-0008-0000-0200-000043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324" name="Text Box 11">
          <a:extLst>
            <a:ext uri="{FF2B5EF4-FFF2-40B4-BE49-F238E27FC236}">
              <a16:creationId xmlns="" xmlns:a16="http://schemas.microsoft.com/office/drawing/2014/main" id="{00000000-0008-0000-0200-000044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325" name="Text Box 12">
          <a:extLst>
            <a:ext uri="{FF2B5EF4-FFF2-40B4-BE49-F238E27FC236}">
              <a16:creationId xmlns="" xmlns:a16="http://schemas.microsoft.com/office/drawing/2014/main" id="{00000000-0008-0000-0200-000045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326" name="Text Box 10">
          <a:extLst>
            <a:ext uri="{FF2B5EF4-FFF2-40B4-BE49-F238E27FC236}">
              <a16:creationId xmlns="" xmlns:a16="http://schemas.microsoft.com/office/drawing/2014/main" id="{00000000-0008-0000-0200-000046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327" name="Text Box 11">
          <a:extLst>
            <a:ext uri="{FF2B5EF4-FFF2-40B4-BE49-F238E27FC236}">
              <a16:creationId xmlns="" xmlns:a16="http://schemas.microsoft.com/office/drawing/2014/main" id="{00000000-0008-0000-0200-000047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328" name="Text Box 12">
          <a:extLst>
            <a:ext uri="{FF2B5EF4-FFF2-40B4-BE49-F238E27FC236}">
              <a16:creationId xmlns="" xmlns:a16="http://schemas.microsoft.com/office/drawing/2014/main" id="{00000000-0008-0000-0200-000048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329" name="Text Box 10">
          <a:extLst>
            <a:ext uri="{FF2B5EF4-FFF2-40B4-BE49-F238E27FC236}">
              <a16:creationId xmlns="" xmlns:a16="http://schemas.microsoft.com/office/drawing/2014/main" id="{00000000-0008-0000-0200-000049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330" name="Text Box 11">
          <a:extLst>
            <a:ext uri="{FF2B5EF4-FFF2-40B4-BE49-F238E27FC236}">
              <a16:creationId xmlns="" xmlns:a16="http://schemas.microsoft.com/office/drawing/2014/main" id="{00000000-0008-0000-0200-00004A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331" name="Text Box 12">
          <a:extLst>
            <a:ext uri="{FF2B5EF4-FFF2-40B4-BE49-F238E27FC236}">
              <a16:creationId xmlns="" xmlns:a16="http://schemas.microsoft.com/office/drawing/2014/main" id="{00000000-0008-0000-0200-00004B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332" name="Text Box 10">
          <a:extLst>
            <a:ext uri="{FF2B5EF4-FFF2-40B4-BE49-F238E27FC236}">
              <a16:creationId xmlns="" xmlns:a16="http://schemas.microsoft.com/office/drawing/2014/main" id="{00000000-0008-0000-0200-00004C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333" name="Text Box 11">
          <a:extLst>
            <a:ext uri="{FF2B5EF4-FFF2-40B4-BE49-F238E27FC236}">
              <a16:creationId xmlns="" xmlns:a16="http://schemas.microsoft.com/office/drawing/2014/main" id="{00000000-0008-0000-0200-00004D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334" name="Text Box 12">
          <a:extLst>
            <a:ext uri="{FF2B5EF4-FFF2-40B4-BE49-F238E27FC236}">
              <a16:creationId xmlns="" xmlns:a16="http://schemas.microsoft.com/office/drawing/2014/main" id="{00000000-0008-0000-0200-00004E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335" name="Text Box 10">
          <a:extLst>
            <a:ext uri="{FF2B5EF4-FFF2-40B4-BE49-F238E27FC236}">
              <a16:creationId xmlns="" xmlns:a16="http://schemas.microsoft.com/office/drawing/2014/main" id="{00000000-0008-0000-0200-00004F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336" name="Text Box 11">
          <a:extLst>
            <a:ext uri="{FF2B5EF4-FFF2-40B4-BE49-F238E27FC236}">
              <a16:creationId xmlns="" xmlns:a16="http://schemas.microsoft.com/office/drawing/2014/main" id="{00000000-0008-0000-0200-000050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337" name="Text Box 12">
          <a:extLst>
            <a:ext uri="{FF2B5EF4-FFF2-40B4-BE49-F238E27FC236}">
              <a16:creationId xmlns="" xmlns:a16="http://schemas.microsoft.com/office/drawing/2014/main" id="{00000000-0008-0000-0200-000051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338" name="Text Box 10">
          <a:extLst>
            <a:ext uri="{FF2B5EF4-FFF2-40B4-BE49-F238E27FC236}">
              <a16:creationId xmlns="" xmlns:a16="http://schemas.microsoft.com/office/drawing/2014/main" id="{00000000-0008-0000-0200-000052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339" name="Text Box 11">
          <a:extLst>
            <a:ext uri="{FF2B5EF4-FFF2-40B4-BE49-F238E27FC236}">
              <a16:creationId xmlns="" xmlns:a16="http://schemas.microsoft.com/office/drawing/2014/main" id="{00000000-0008-0000-0200-000053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340" name="Text Box 12">
          <a:extLst>
            <a:ext uri="{FF2B5EF4-FFF2-40B4-BE49-F238E27FC236}">
              <a16:creationId xmlns="" xmlns:a16="http://schemas.microsoft.com/office/drawing/2014/main" id="{00000000-0008-0000-0200-000054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341" name="Text Box 10">
          <a:extLst>
            <a:ext uri="{FF2B5EF4-FFF2-40B4-BE49-F238E27FC236}">
              <a16:creationId xmlns="" xmlns:a16="http://schemas.microsoft.com/office/drawing/2014/main" id="{00000000-0008-0000-0200-000055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342" name="Text Box 11">
          <a:extLst>
            <a:ext uri="{FF2B5EF4-FFF2-40B4-BE49-F238E27FC236}">
              <a16:creationId xmlns="" xmlns:a16="http://schemas.microsoft.com/office/drawing/2014/main" id="{00000000-0008-0000-0200-000056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343" name="Text Box 12">
          <a:extLst>
            <a:ext uri="{FF2B5EF4-FFF2-40B4-BE49-F238E27FC236}">
              <a16:creationId xmlns="" xmlns:a16="http://schemas.microsoft.com/office/drawing/2014/main" id="{00000000-0008-0000-0200-000057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344" name="Text Box 10">
          <a:extLst>
            <a:ext uri="{FF2B5EF4-FFF2-40B4-BE49-F238E27FC236}">
              <a16:creationId xmlns="" xmlns:a16="http://schemas.microsoft.com/office/drawing/2014/main" id="{00000000-0008-0000-0200-000058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345" name="Text Box 11">
          <a:extLst>
            <a:ext uri="{FF2B5EF4-FFF2-40B4-BE49-F238E27FC236}">
              <a16:creationId xmlns="" xmlns:a16="http://schemas.microsoft.com/office/drawing/2014/main" id="{00000000-0008-0000-0200-000059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346" name="Text Box 12">
          <a:extLst>
            <a:ext uri="{FF2B5EF4-FFF2-40B4-BE49-F238E27FC236}">
              <a16:creationId xmlns="" xmlns:a16="http://schemas.microsoft.com/office/drawing/2014/main" id="{00000000-0008-0000-0200-00005A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347" name="Text Box 10">
          <a:extLst>
            <a:ext uri="{FF2B5EF4-FFF2-40B4-BE49-F238E27FC236}">
              <a16:creationId xmlns="" xmlns:a16="http://schemas.microsoft.com/office/drawing/2014/main" id="{00000000-0008-0000-0200-00005B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348" name="Text Box 11">
          <a:extLst>
            <a:ext uri="{FF2B5EF4-FFF2-40B4-BE49-F238E27FC236}">
              <a16:creationId xmlns="" xmlns:a16="http://schemas.microsoft.com/office/drawing/2014/main" id="{00000000-0008-0000-0200-00005C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349" name="Text Box 12">
          <a:extLst>
            <a:ext uri="{FF2B5EF4-FFF2-40B4-BE49-F238E27FC236}">
              <a16:creationId xmlns="" xmlns:a16="http://schemas.microsoft.com/office/drawing/2014/main" id="{00000000-0008-0000-0200-00005D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350" name="Text Box 10">
          <a:extLst>
            <a:ext uri="{FF2B5EF4-FFF2-40B4-BE49-F238E27FC236}">
              <a16:creationId xmlns="" xmlns:a16="http://schemas.microsoft.com/office/drawing/2014/main" id="{00000000-0008-0000-0200-00005E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351" name="Text Box 11">
          <a:extLst>
            <a:ext uri="{FF2B5EF4-FFF2-40B4-BE49-F238E27FC236}">
              <a16:creationId xmlns="" xmlns:a16="http://schemas.microsoft.com/office/drawing/2014/main" id="{00000000-0008-0000-0200-00005F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352" name="Text Box 12">
          <a:extLst>
            <a:ext uri="{FF2B5EF4-FFF2-40B4-BE49-F238E27FC236}">
              <a16:creationId xmlns="" xmlns:a16="http://schemas.microsoft.com/office/drawing/2014/main" id="{00000000-0008-0000-0200-000060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353" name="Text Box 10">
          <a:extLst>
            <a:ext uri="{FF2B5EF4-FFF2-40B4-BE49-F238E27FC236}">
              <a16:creationId xmlns="" xmlns:a16="http://schemas.microsoft.com/office/drawing/2014/main" id="{00000000-0008-0000-0200-000061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354" name="Text Box 11">
          <a:extLst>
            <a:ext uri="{FF2B5EF4-FFF2-40B4-BE49-F238E27FC236}">
              <a16:creationId xmlns="" xmlns:a16="http://schemas.microsoft.com/office/drawing/2014/main" id="{00000000-0008-0000-0200-000062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355" name="Text Box 12">
          <a:extLst>
            <a:ext uri="{FF2B5EF4-FFF2-40B4-BE49-F238E27FC236}">
              <a16:creationId xmlns="" xmlns:a16="http://schemas.microsoft.com/office/drawing/2014/main" id="{00000000-0008-0000-0200-000063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356" name="Text Box 10">
          <a:extLst>
            <a:ext uri="{FF2B5EF4-FFF2-40B4-BE49-F238E27FC236}">
              <a16:creationId xmlns="" xmlns:a16="http://schemas.microsoft.com/office/drawing/2014/main" id="{00000000-0008-0000-0200-000064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357" name="Text Box 11">
          <a:extLst>
            <a:ext uri="{FF2B5EF4-FFF2-40B4-BE49-F238E27FC236}">
              <a16:creationId xmlns="" xmlns:a16="http://schemas.microsoft.com/office/drawing/2014/main" id="{00000000-0008-0000-0200-000065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358" name="Text Box 12">
          <a:extLst>
            <a:ext uri="{FF2B5EF4-FFF2-40B4-BE49-F238E27FC236}">
              <a16:creationId xmlns="" xmlns:a16="http://schemas.microsoft.com/office/drawing/2014/main" id="{00000000-0008-0000-0200-000066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359" name="Text Box 10">
          <a:extLst>
            <a:ext uri="{FF2B5EF4-FFF2-40B4-BE49-F238E27FC236}">
              <a16:creationId xmlns="" xmlns:a16="http://schemas.microsoft.com/office/drawing/2014/main" id="{00000000-0008-0000-0200-000067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360" name="Text Box 11">
          <a:extLst>
            <a:ext uri="{FF2B5EF4-FFF2-40B4-BE49-F238E27FC236}">
              <a16:creationId xmlns="" xmlns:a16="http://schemas.microsoft.com/office/drawing/2014/main" id="{00000000-0008-0000-0200-000068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361" name="Text Box 12">
          <a:extLst>
            <a:ext uri="{FF2B5EF4-FFF2-40B4-BE49-F238E27FC236}">
              <a16:creationId xmlns="" xmlns:a16="http://schemas.microsoft.com/office/drawing/2014/main" id="{00000000-0008-0000-0200-000069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362" name="Text Box 10">
          <a:extLst>
            <a:ext uri="{FF2B5EF4-FFF2-40B4-BE49-F238E27FC236}">
              <a16:creationId xmlns="" xmlns:a16="http://schemas.microsoft.com/office/drawing/2014/main" id="{00000000-0008-0000-0200-00006A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363" name="Text Box 11">
          <a:extLst>
            <a:ext uri="{FF2B5EF4-FFF2-40B4-BE49-F238E27FC236}">
              <a16:creationId xmlns="" xmlns:a16="http://schemas.microsoft.com/office/drawing/2014/main" id="{00000000-0008-0000-0200-00006B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364" name="Text Box 12">
          <a:extLst>
            <a:ext uri="{FF2B5EF4-FFF2-40B4-BE49-F238E27FC236}">
              <a16:creationId xmlns="" xmlns:a16="http://schemas.microsoft.com/office/drawing/2014/main" id="{00000000-0008-0000-0200-00006C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365" name="Text Box 10">
          <a:extLst>
            <a:ext uri="{FF2B5EF4-FFF2-40B4-BE49-F238E27FC236}">
              <a16:creationId xmlns="" xmlns:a16="http://schemas.microsoft.com/office/drawing/2014/main" id="{00000000-0008-0000-0200-00006D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366" name="Text Box 11">
          <a:extLst>
            <a:ext uri="{FF2B5EF4-FFF2-40B4-BE49-F238E27FC236}">
              <a16:creationId xmlns="" xmlns:a16="http://schemas.microsoft.com/office/drawing/2014/main" id="{00000000-0008-0000-0200-00006E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367" name="Text Box 12">
          <a:extLst>
            <a:ext uri="{FF2B5EF4-FFF2-40B4-BE49-F238E27FC236}">
              <a16:creationId xmlns="" xmlns:a16="http://schemas.microsoft.com/office/drawing/2014/main" id="{00000000-0008-0000-0200-00006F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368" name="Text Box 10">
          <a:extLst>
            <a:ext uri="{FF2B5EF4-FFF2-40B4-BE49-F238E27FC236}">
              <a16:creationId xmlns="" xmlns:a16="http://schemas.microsoft.com/office/drawing/2014/main" id="{00000000-0008-0000-0200-000070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369" name="Text Box 11">
          <a:extLst>
            <a:ext uri="{FF2B5EF4-FFF2-40B4-BE49-F238E27FC236}">
              <a16:creationId xmlns="" xmlns:a16="http://schemas.microsoft.com/office/drawing/2014/main" id="{00000000-0008-0000-0200-000071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370" name="Text Box 12">
          <a:extLst>
            <a:ext uri="{FF2B5EF4-FFF2-40B4-BE49-F238E27FC236}">
              <a16:creationId xmlns="" xmlns:a16="http://schemas.microsoft.com/office/drawing/2014/main" id="{00000000-0008-0000-0200-000072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371" name="Text Box 10">
          <a:extLst>
            <a:ext uri="{FF2B5EF4-FFF2-40B4-BE49-F238E27FC236}">
              <a16:creationId xmlns="" xmlns:a16="http://schemas.microsoft.com/office/drawing/2014/main" id="{00000000-0008-0000-0200-000073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372" name="Text Box 11">
          <a:extLst>
            <a:ext uri="{FF2B5EF4-FFF2-40B4-BE49-F238E27FC236}">
              <a16:creationId xmlns="" xmlns:a16="http://schemas.microsoft.com/office/drawing/2014/main" id="{00000000-0008-0000-0200-000074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373" name="Text Box 12">
          <a:extLst>
            <a:ext uri="{FF2B5EF4-FFF2-40B4-BE49-F238E27FC236}">
              <a16:creationId xmlns="" xmlns:a16="http://schemas.microsoft.com/office/drawing/2014/main" id="{00000000-0008-0000-0200-000075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374" name="Text Box 10">
          <a:extLst>
            <a:ext uri="{FF2B5EF4-FFF2-40B4-BE49-F238E27FC236}">
              <a16:creationId xmlns="" xmlns:a16="http://schemas.microsoft.com/office/drawing/2014/main" id="{00000000-0008-0000-0200-000076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375" name="Text Box 11">
          <a:extLst>
            <a:ext uri="{FF2B5EF4-FFF2-40B4-BE49-F238E27FC236}">
              <a16:creationId xmlns="" xmlns:a16="http://schemas.microsoft.com/office/drawing/2014/main" id="{00000000-0008-0000-0200-000077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376" name="Text Box 12">
          <a:extLst>
            <a:ext uri="{FF2B5EF4-FFF2-40B4-BE49-F238E27FC236}">
              <a16:creationId xmlns="" xmlns:a16="http://schemas.microsoft.com/office/drawing/2014/main" id="{00000000-0008-0000-0200-000078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377" name="Text Box 10">
          <a:extLst>
            <a:ext uri="{FF2B5EF4-FFF2-40B4-BE49-F238E27FC236}">
              <a16:creationId xmlns="" xmlns:a16="http://schemas.microsoft.com/office/drawing/2014/main" id="{00000000-0008-0000-0200-000079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378" name="Text Box 11">
          <a:extLst>
            <a:ext uri="{FF2B5EF4-FFF2-40B4-BE49-F238E27FC236}">
              <a16:creationId xmlns="" xmlns:a16="http://schemas.microsoft.com/office/drawing/2014/main" id="{00000000-0008-0000-0200-00007A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379" name="Text Box 12">
          <a:extLst>
            <a:ext uri="{FF2B5EF4-FFF2-40B4-BE49-F238E27FC236}">
              <a16:creationId xmlns="" xmlns:a16="http://schemas.microsoft.com/office/drawing/2014/main" id="{00000000-0008-0000-0200-00007B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380" name="Text Box 10">
          <a:extLst>
            <a:ext uri="{FF2B5EF4-FFF2-40B4-BE49-F238E27FC236}">
              <a16:creationId xmlns="" xmlns:a16="http://schemas.microsoft.com/office/drawing/2014/main" id="{00000000-0008-0000-0200-00007C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381" name="Text Box 11">
          <a:extLst>
            <a:ext uri="{FF2B5EF4-FFF2-40B4-BE49-F238E27FC236}">
              <a16:creationId xmlns="" xmlns:a16="http://schemas.microsoft.com/office/drawing/2014/main" id="{00000000-0008-0000-0200-00007D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382" name="Text Box 12">
          <a:extLst>
            <a:ext uri="{FF2B5EF4-FFF2-40B4-BE49-F238E27FC236}">
              <a16:creationId xmlns="" xmlns:a16="http://schemas.microsoft.com/office/drawing/2014/main" id="{00000000-0008-0000-0200-00007E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383" name="Text Box 10">
          <a:extLst>
            <a:ext uri="{FF2B5EF4-FFF2-40B4-BE49-F238E27FC236}">
              <a16:creationId xmlns="" xmlns:a16="http://schemas.microsoft.com/office/drawing/2014/main" id="{00000000-0008-0000-0200-00007F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384" name="Text Box 11">
          <a:extLst>
            <a:ext uri="{FF2B5EF4-FFF2-40B4-BE49-F238E27FC236}">
              <a16:creationId xmlns="" xmlns:a16="http://schemas.microsoft.com/office/drawing/2014/main" id="{00000000-0008-0000-0200-000080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385" name="Text Box 12">
          <a:extLst>
            <a:ext uri="{FF2B5EF4-FFF2-40B4-BE49-F238E27FC236}">
              <a16:creationId xmlns="" xmlns:a16="http://schemas.microsoft.com/office/drawing/2014/main" id="{00000000-0008-0000-0200-000081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386" name="Text Box 10">
          <a:extLst>
            <a:ext uri="{FF2B5EF4-FFF2-40B4-BE49-F238E27FC236}">
              <a16:creationId xmlns="" xmlns:a16="http://schemas.microsoft.com/office/drawing/2014/main" id="{00000000-0008-0000-0200-000082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387" name="Text Box 11">
          <a:extLst>
            <a:ext uri="{FF2B5EF4-FFF2-40B4-BE49-F238E27FC236}">
              <a16:creationId xmlns="" xmlns:a16="http://schemas.microsoft.com/office/drawing/2014/main" id="{00000000-0008-0000-0200-000083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388" name="Text Box 12">
          <a:extLst>
            <a:ext uri="{FF2B5EF4-FFF2-40B4-BE49-F238E27FC236}">
              <a16:creationId xmlns="" xmlns:a16="http://schemas.microsoft.com/office/drawing/2014/main" id="{00000000-0008-0000-0200-000084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389" name="Text Box 10">
          <a:extLst>
            <a:ext uri="{FF2B5EF4-FFF2-40B4-BE49-F238E27FC236}">
              <a16:creationId xmlns="" xmlns:a16="http://schemas.microsoft.com/office/drawing/2014/main" id="{00000000-0008-0000-0200-000085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390" name="Text Box 11">
          <a:extLst>
            <a:ext uri="{FF2B5EF4-FFF2-40B4-BE49-F238E27FC236}">
              <a16:creationId xmlns="" xmlns:a16="http://schemas.microsoft.com/office/drawing/2014/main" id="{00000000-0008-0000-0200-000086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391" name="Text Box 12">
          <a:extLst>
            <a:ext uri="{FF2B5EF4-FFF2-40B4-BE49-F238E27FC236}">
              <a16:creationId xmlns="" xmlns:a16="http://schemas.microsoft.com/office/drawing/2014/main" id="{00000000-0008-0000-0200-000087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392" name="Text Box 10">
          <a:extLst>
            <a:ext uri="{FF2B5EF4-FFF2-40B4-BE49-F238E27FC236}">
              <a16:creationId xmlns="" xmlns:a16="http://schemas.microsoft.com/office/drawing/2014/main" id="{00000000-0008-0000-0200-000088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393" name="Text Box 11">
          <a:extLst>
            <a:ext uri="{FF2B5EF4-FFF2-40B4-BE49-F238E27FC236}">
              <a16:creationId xmlns="" xmlns:a16="http://schemas.microsoft.com/office/drawing/2014/main" id="{00000000-0008-0000-0200-000089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394" name="Text Box 12">
          <a:extLst>
            <a:ext uri="{FF2B5EF4-FFF2-40B4-BE49-F238E27FC236}">
              <a16:creationId xmlns="" xmlns:a16="http://schemas.microsoft.com/office/drawing/2014/main" id="{00000000-0008-0000-0200-00008A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395" name="Text Box 10">
          <a:extLst>
            <a:ext uri="{FF2B5EF4-FFF2-40B4-BE49-F238E27FC236}">
              <a16:creationId xmlns="" xmlns:a16="http://schemas.microsoft.com/office/drawing/2014/main" id="{00000000-0008-0000-0200-00008B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396" name="Text Box 11">
          <a:extLst>
            <a:ext uri="{FF2B5EF4-FFF2-40B4-BE49-F238E27FC236}">
              <a16:creationId xmlns="" xmlns:a16="http://schemas.microsoft.com/office/drawing/2014/main" id="{00000000-0008-0000-0200-00008C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397" name="Text Box 12">
          <a:extLst>
            <a:ext uri="{FF2B5EF4-FFF2-40B4-BE49-F238E27FC236}">
              <a16:creationId xmlns="" xmlns:a16="http://schemas.microsoft.com/office/drawing/2014/main" id="{00000000-0008-0000-0200-00008D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398" name="Text Box 10">
          <a:extLst>
            <a:ext uri="{FF2B5EF4-FFF2-40B4-BE49-F238E27FC236}">
              <a16:creationId xmlns="" xmlns:a16="http://schemas.microsoft.com/office/drawing/2014/main" id="{00000000-0008-0000-0200-00008E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399" name="Text Box 11">
          <a:extLst>
            <a:ext uri="{FF2B5EF4-FFF2-40B4-BE49-F238E27FC236}">
              <a16:creationId xmlns="" xmlns:a16="http://schemas.microsoft.com/office/drawing/2014/main" id="{00000000-0008-0000-0200-00008F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400" name="Text Box 12">
          <a:extLst>
            <a:ext uri="{FF2B5EF4-FFF2-40B4-BE49-F238E27FC236}">
              <a16:creationId xmlns="" xmlns:a16="http://schemas.microsoft.com/office/drawing/2014/main" id="{00000000-0008-0000-0200-000090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401" name="Text Box 10">
          <a:extLst>
            <a:ext uri="{FF2B5EF4-FFF2-40B4-BE49-F238E27FC236}">
              <a16:creationId xmlns="" xmlns:a16="http://schemas.microsoft.com/office/drawing/2014/main" id="{00000000-0008-0000-0200-000091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402" name="Text Box 11">
          <a:extLst>
            <a:ext uri="{FF2B5EF4-FFF2-40B4-BE49-F238E27FC236}">
              <a16:creationId xmlns="" xmlns:a16="http://schemas.microsoft.com/office/drawing/2014/main" id="{00000000-0008-0000-0200-000092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403" name="Text Box 12">
          <a:extLst>
            <a:ext uri="{FF2B5EF4-FFF2-40B4-BE49-F238E27FC236}">
              <a16:creationId xmlns="" xmlns:a16="http://schemas.microsoft.com/office/drawing/2014/main" id="{00000000-0008-0000-0200-000093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404" name="Text Box 10">
          <a:extLst>
            <a:ext uri="{FF2B5EF4-FFF2-40B4-BE49-F238E27FC236}">
              <a16:creationId xmlns="" xmlns:a16="http://schemas.microsoft.com/office/drawing/2014/main" id="{00000000-0008-0000-0200-000094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405" name="Text Box 11">
          <a:extLst>
            <a:ext uri="{FF2B5EF4-FFF2-40B4-BE49-F238E27FC236}">
              <a16:creationId xmlns="" xmlns:a16="http://schemas.microsoft.com/office/drawing/2014/main" id="{00000000-0008-0000-0200-000095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406" name="Text Box 12">
          <a:extLst>
            <a:ext uri="{FF2B5EF4-FFF2-40B4-BE49-F238E27FC236}">
              <a16:creationId xmlns="" xmlns:a16="http://schemas.microsoft.com/office/drawing/2014/main" id="{00000000-0008-0000-0200-000096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407" name="Text Box 10">
          <a:extLst>
            <a:ext uri="{FF2B5EF4-FFF2-40B4-BE49-F238E27FC236}">
              <a16:creationId xmlns="" xmlns:a16="http://schemas.microsoft.com/office/drawing/2014/main" id="{00000000-0008-0000-0200-000097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408" name="Text Box 11">
          <a:extLst>
            <a:ext uri="{FF2B5EF4-FFF2-40B4-BE49-F238E27FC236}">
              <a16:creationId xmlns="" xmlns:a16="http://schemas.microsoft.com/office/drawing/2014/main" id="{00000000-0008-0000-0200-000098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409" name="Text Box 12">
          <a:extLst>
            <a:ext uri="{FF2B5EF4-FFF2-40B4-BE49-F238E27FC236}">
              <a16:creationId xmlns="" xmlns:a16="http://schemas.microsoft.com/office/drawing/2014/main" id="{00000000-0008-0000-0200-000099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410" name="Text Box 10">
          <a:extLst>
            <a:ext uri="{FF2B5EF4-FFF2-40B4-BE49-F238E27FC236}">
              <a16:creationId xmlns="" xmlns:a16="http://schemas.microsoft.com/office/drawing/2014/main" id="{00000000-0008-0000-0200-00009A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411" name="Text Box 11">
          <a:extLst>
            <a:ext uri="{FF2B5EF4-FFF2-40B4-BE49-F238E27FC236}">
              <a16:creationId xmlns="" xmlns:a16="http://schemas.microsoft.com/office/drawing/2014/main" id="{00000000-0008-0000-0200-00009B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412" name="Text Box 12">
          <a:extLst>
            <a:ext uri="{FF2B5EF4-FFF2-40B4-BE49-F238E27FC236}">
              <a16:creationId xmlns="" xmlns:a16="http://schemas.microsoft.com/office/drawing/2014/main" id="{00000000-0008-0000-0200-00009C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413" name="Text Box 10">
          <a:extLst>
            <a:ext uri="{FF2B5EF4-FFF2-40B4-BE49-F238E27FC236}">
              <a16:creationId xmlns="" xmlns:a16="http://schemas.microsoft.com/office/drawing/2014/main" id="{00000000-0008-0000-0200-00009D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414" name="Text Box 11">
          <a:extLst>
            <a:ext uri="{FF2B5EF4-FFF2-40B4-BE49-F238E27FC236}">
              <a16:creationId xmlns="" xmlns:a16="http://schemas.microsoft.com/office/drawing/2014/main" id="{00000000-0008-0000-0200-00009E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415" name="Text Box 12">
          <a:extLst>
            <a:ext uri="{FF2B5EF4-FFF2-40B4-BE49-F238E27FC236}">
              <a16:creationId xmlns="" xmlns:a16="http://schemas.microsoft.com/office/drawing/2014/main" id="{00000000-0008-0000-0200-00009F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416" name="Text Box 10">
          <a:extLst>
            <a:ext uri="{FF2B5EF4-FFF2-40B4-BE49-F238E27FC236}">
              <a16:creationId xmlns="" xmlns:a16="http://schemas.microsoft.com/office/drawing/2014/main" id="{00000000-0008-0000-0200-0000A0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417" name="Text Box 11">
          <a:extLst>
            <a:ext uri="{FF2B5EF4-FFF2-40B4-BE49-F238E27FC236}">
              <a16:creationId xmlns="" xmlns:a16="http://schemas.microsoft.com/office/drawing/2014/main" id="{00000000-0008-0000-0200-0000A1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418" name="Text Box 12">
          <a:extLst>
            <a:ext uri="{FF2B5EF4-FFF2-40B4-BE49-F238E27FC236}">
              <a16:creationId xmlns="" xmlns:a16="http://schemas.microsoft.com/office/drawing/2014/main" id="{00000000-0008-0000-0200-0000A2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419" name="Text Box 10">
          <a:extLst>
            <a:ext uri="{FF2B5EF4-FFF2-40B4-BE49-F238E27FC236}">
              <a16:creationId xmlns="" xmlns:a16="http://schemas.microsoft.com/office/drawing/2014/main" id="{00000000-0008-0000-0200-0000A3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420" name="Text Box 11">
          <a:extLst>
            <a:ext uri="{FF2B5EF4-FFF2-40B4-BE49-F238E27FC236}">
              <a16:creationId xmlns="" xmlns:a16="http://schemas.microsoft.com/office/drawing/2014/main" id="{00000000-0008-0000-0200-0000A4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421" name="Text Box 12">
          <a:extLst>
            <a:ext uri="{FF2B5EF4-FFF2-40B4-BE49-F238E27FC236}">
              <a16:creationId xmlns="" xmlns:a16="http://schemas.microsoft.com/office/drawing/2014/main" id="{00000000-0008-0000-0200-0000A5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422" name="Text Box 10">
          <a:extLst>
            <a:ext uri="{FF2B5EF4-FFF2-40B4-BE49-F238E27FC236}">
              <a16:creationId xmlns="" xmlns:a16="http://schemas.microsoft.com/office/drawing/2014/main" id="{00000000-0008-0000-0200-0000A6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423" name="Text Box 11">
          <a:extLst>
            <a:ext uri="{FF2B5EF4-FFF2-40B4-BE49-F238E27FC236}">
              <a16:creationId xmlns="" xmlns:a16="http://schemas.microsoft.com/office/drawing/2014/main" id="{00000000-0008-0000-0200-0000A7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424" name="Text Box 12">
          <a:extLst>
            <a:ext uri="{FF2B5EF4-FFF2-40B4-BE49-F238E27FC236}">
              <a16:creationId xmlns="" xmlns:a16="http://schemas.microsoft.com/office/drawing/2014/main" id="{00000000-0008-0000-0200-0000A8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425" name="Text Box 10">
          <a:extLst>
            <a:ext uri="{FF2B5EF4-FFF2-40B4-BE49-F238E27FC236}">
              <a16:creationId xmlns="" xmlns:a16="http://schemas.microsoft.com/office/drawing/2014/main" id="{00000000-0008-0000-0200-0000A9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426" name="Text Box 11">
          <a:extLst>
            <a:ext uri="{FF2B5EF4-FFF2-40B4-BE49-F238E27FC236}">
              <a16:creationId xmlns="" xmlns:a16="http://schemas.microsoft.com/office/drawing/2014/main" id="{00000000-0008-0000-0200-0000AA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427" name="Text Box 12">
          <a:extLst>
            <a:ext uri="{FF2B5EF4-FFF2-40B4-BE49-F238E27FC236}">
              <a16:creationId xmlns="" xmlns:a16="http://schemas.microsoft.com/office/drawing/2014/main" id="{00000000-0008-0000-0200-0000AB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428" name="Text Box 10">
          <a:extLst>
            <a:ext uri="{FF2B5EF4-FFF2-40B4-BE49-F238E27FC236}">
              <a16:creationId xmlns="" xmlns:a16="http://schemas.microsoft.com/office/drawing/2014/main" id="{00000000-0008-0000-0200-0000AC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429" name="Text Box 11">
          <a:extLst>
            <a:ext uri="{FF2B5EF4-FFF2-40B4-BE49-F238E27FC236}">
              <a16:creationId xmlns="" xmlns:a16="http://schemas.microsoft.com/office/drawing/2014/main" id="{00000000-0008-0000-0200-0000AD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430" name="Text Box 12">
          <a:extLst>
            <a:ext uri="{FF2B5EF4-FFF2-40B4-BE49-F238E27FC236}">
              <a16:creationId xmlns="" xmlns:a16="http://schemas.microsoft.com/office/drawing/2014/main" id="{00000000-0008-0000-0200-0000AE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431" name="Text Box 10">
          <a:extLst>
            <a:ext uri="{FF2B5EF4-FFF2-40B4-BE49-F238E27FC236}">
              <a16:creationId xmlns="" xmlns:a16="http://schemas.microsoft.com/office/drawing/2014/main" id="{00000000-0008-0000-0200-0000AF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432" name="Text Box 11">
          <a:extLst>
            <a:ext uri="{FF2B5EF4-FFF2-40B4-BE49-F238E27FC236}">
              <a16:creationId xmlns="" xmlns:a16="http://schemas.microsoft.com/office/drawing/2014/main" id="{00000000-0008-0000-0200-0000B0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433" name="Text Box 12">
          <a:extLst>
            <a:ext uri="{FF2B5EF4-FFF2-40B4-BE49-F238E27FC236}">
              <a16:creationId xmlns="" xmlns:a16="http://schemas.microsoft.com/office/drawing/2014/main" id="{00000000-0008-0000-0200-0000B1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434" name="Text Box 10">
          <a:extLst>
            <a:ext uri="{FF2B5EF4-FFF2-40B4-BE49-F238E27FC236}">
              <a16:creationId xmlns="" xmlns:a16="http://schemas.microsoft.com/office/drawing/2014/main" id="{00000000-0008-0000-0200-0000B2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435" name="Text Box 11">
          <a:extLst>
            <a:ext uri="{FF2B5EF4-FFF2-40B4-BE49-F238E27FC236}">
              <a16:creationId xmlns="" xmlns:a16="http://schemas.microsoft.com/office/drawing/2014/main" id="{00000000-0008-0000-0200-0000B3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436" name="Text Box 12">
          <a:extLst>
            <a:ext uri="{FF2B5EF4-FFF2-40B4-BE49-F238E27FC236}">
              <a16:creationId xmlns="" xmlns:a16="http://schemas.microsoft.com/office/drawing/2014/main" id="{00000000-0008-0000-0200-0000B4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437" name="Text Box 10">
          <a:extLst>
            <a:ext uri="{FF2B5EF4-FFF2-40B4-BE49-F238E27FC236}">
              <a16:creationId xmlns="" xmlns:a16="http://schemas.microsoft.com/office/drawing/2014/main" id="{00000000-0008-0000-0200-0000B5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438" name="Text Box 11">
          <a:extLst>
            <a:ext uri="{FF2B5EF4-FFF2-40B4-BE49-F238E27FC236}">
              <a16:creationId xmlns="" xmlns:a16="http://schemas.microsoft.com/office/drawing/2014/main" id="{00000000-0008-0000-0200-0000B6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30</xdr:row>
      <xdr:rowOff>0</xdr:rowOff>
    </xdr:from>
    <xdr:to>
      <xdr:col>2</xdr:col>
      <xdr:colOff>104775</xdr:colOff>
      <xdr:row>31</xdr:row>
      <xdr:rowOff>457201</xdr:rowOff>
    </xdr:to>
    <xdr:sp macro="" textlink="">
      <xdr:nvSpPr>
        <xdr:cNvPr id="439" name="Text Box 12">
          <a:extLst>
            <a:ext uri="{FF2B5EF4-FFF2-40B4-BE49-F238E27FC236}">
              <a16:creationId xmlns="" xmlns:a16="http://schemas.microsoft.com/office/drawing/2014/main" id="{00000000-0008-0000-0200-0000B7010000}"/>
            </a:ext>
          </a:extLst>
        </xdr:cNvPr>
        <xdr:cNvSpPr txBox="1">
          <a:spLocks noChangeArrowheads="1"/>
        </xdr:cNvSpPr>
      </xdr:nvSpPr>
      <xdr:spPr bwMode="auto">
        <a:xfrm>
          <a:off x="316230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85725</xdr:colOff>
      <xdr:row>31</xdr:row>
      <xdr:rowOff>238125</xdr:rowOff>
    </xdr:to>
    <xdr:sp macro="" textlink="">
      <xdr:nvSpPr>
        <xdr:cNvPr id="440" name="Text Box 10">
          <a:extLst>
            <a:ext uri="{FF2B5EF4-FFF2-40B4-BE49-F238E27FC236}">
              <a16:creationId xmlns="" xmlns:a16="http://schemas.microsoft.com/office/drawing/2014/main" id="{00000000-0008-0000-0200-0000B8010000}"/>
            </a:ext>
          </a:extLst>
        </xdr:cNvPr>
        <xdr:cNvSpPr txBox="1">
          <a:spLocks noChangeArrowheads="1"/>
        </xdr:cNvSpPr>
      </xdr:nvSpPr>
      <xdr:spPr bwMode="auto">
        <a:xfrm>
          <a:off x="3162300" y="425862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85725</xdr:colOff>
      <xdr:row>31</xdr:row>
      <xdr:rowOff>238125</xdr:rowOff>
    </xdr:to>
    <xdr:sp macro="" textlink="">
      <xdr:nvSpPr>
        <xdr:cNvPr id="441" name="Text Box 11">
          <a:extLst>
            <a:ext uri="{FF2B5EF4-FFF2-40B4-BE49-F238E27FC236}">
              <a16:creationId xmlns="" xmlns:a16="http://schemas.microsoft.com/office/drawing/2014/main" id="{00000000-0008-0000-0200-0000B9010000}"/>
            </a:ext>
          </a:extLst>
        </xdr:cNvPr>
        <xdr:cNvSpPr txBox="1">
          <a:spLocks noChangeArrowheads="1"/>
        </xdr:cNvSpPr>
      </xdr:nvSpPr>
      <xdr:spPr bwMode="auto">
        <a:xfrm>
          <a:off x="3162300" y="425862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85725</xdr:colOff>
      <xdr:row>31</xdr:row>
      <xdr:rowOff>238125</xdr:rowOff>
    </xdr:to>
    <xdr:sp macro="" textlink="">
      <xdr:nvSpPr>
        <xdr:cNvPr id="442" name="Text Box 12">
          <a:extLst>
            <a:ext uri="{FF2B5EF4-FFF2-40B4-BE49-F238E27FC236}">
              <a16:creationId xmlns="" xmlns:a16="http://schemas.microsoft.com/office/drawing/2014/main" id="{00000000-0008-0000-0200-0000BA010000}"/>
            </a:ext>
          </a:extLst>
        </xdr:cNvPr>
        <xdr:cNvSpPr txBox="1">
          <a:spLocks noChangeArrowheads="1"/>
        </xdr:cNvSpPr>
      </xdr:nvSpPr>
      <xdr:spPr bwMode="auto">
        <a:xfrm>
          <a:off x="3162300" y="425862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85725</xdr:colOff>
      <xdr:row>31</xdr:row>
      <xdr:rowOff>238125</xdr:rowOff>
    </xdr:to>
    <xdr:sp macro="" textlink="">
      <xdr:nvSpPr>
        <xdr:cNvPr id="443" name="Text Box 10">
          <a:extLst>
            <a:ext uri="{FF2B5EF4-FFF2-40B4-BE49-F238E27FC236}">
              <a16:creationId xmlns="" xmlns:a16="http://schemas.microsoft.com/office/drawing/2014/main" id="{00000000-0008-0000-0200-0000BB010000}"/>
            </a:ext>
          </a:extLst>
        </xdr:cNvPr>
        <xdr:cNvSpPr txBox="1">
          <a:spLocks noChangeArrowheads="1"/>
        </xdr:cNvSpPr>
      </xdr:nvSpPr>
      <xdr:spPr bwMode="auto">
        <a:xfrm>
          <a:off x="3162300" y="425862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85725</xdr:colOff>
      <xdr:row>31</xdr:row>
      <xdr:rowOff>238125</xdr:rowOff>
    </xdr:to>
    <xdr:sp macro="" textlink="">
      <xdr:nvSpPr>
        <xdr:cNvPr id="444" name="Text Box 11">
          <a:extLst>
            <a:ext uri="{FF2B5EF4-FFF2-40B4-BE49-F238E27FC236}">
              <a16:creationId xmlns="" xmlns:a16="http://schemas.microsoft.com/office/drawing/2014/main" id="{00000000-0008-0000-0200-0000BC010000}"/>
            </a:ext>
          </a:extLst>
        </xdr:cNvPr>
        <xdr:cNvSpPr txBox="1">
          <a:spLocks noChangeArrowheads="1"/>
        </xdr:cNvSpPr>
      </xdr:nvSpPr>
      <xdr:spPr bwMode="auto">
        <a:xfrm>
          <a:off x="3162300" y="425862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85725</xdr:colOff>
      <xdr:row>31</xdr:row>
      <xdr:rowOff>238125</xdr:rowOff>
    </xdr:to>
    <xdr:sp macro="" textlink="">
      <xdr:nvSpPr>
        <xdr:cNvPr id="445" name="Text Box 12">
          <a:extLst>
            <a:ext uri="{FF2B5EF4-FFF2-40B4-BE49-F238E27FC236}">
              <a16:creationId xmlns="" xmlns:a16="http://schemas.microsoft.com/office/drawing/2014/main" id="{00000000-0008-0000-0200-0000BD010000}"/>
            </a:ext>
          </a:extLst>
        </xdr:cNvPr>
        <xdr:cNvSpPr txBox="1">
          <a:spLocks noChangeArrowheads="1"/>
        </xdr:cNvSpPr>
      </xdr:nvSpPr>
      <xdr:spPr bwMode="auto">
        <a:xfrm>
          <a:off x="3162300" y="425862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446" name="Text Box 10">
          <a:extLst>
            <a:ext uri="{FF2B5EF4-FFF2-40B4-BE49-F238E27FC236}">
              <a16:creationId xmlns="" xmlns:a16="http://schemas.microsoft.com/office/drawing/2014/main" id="{00000000-0008-0000-0200-0000BE01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447" name="Text Box 11">
          <a:extLst>
            <a:ext uri="{FF2B5EF4-FFF2-40B4-BE49-F238E27FC236}">
              <a16:creationId xmlns="" xmlns:a16="http://schemas.microsoft.com/office/drawing/2014/main" id="{00000000-0008-0000-0200-0000BF01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448" name="Text Box 12">
          <a:extLst>
            <a:ext uri="{FF2B5EF4-FFF2-40B4-BE49-F238E27FC236}">
              <a16:creationId xmlns="" xmlns:a16="http://schemas.microsoft.com/office/drawing/2014/main" id="{00000000-0008-0000-0200-0000C001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85725</xdr:colOff>
      <xdr:row>31</xdr:row>
      <xdr:rowOff>238125</xdr:rowOff>
    </xdr:to>
    <xdr:sp macro="" textlink="">
      <xdr:nvSpPr>
        <xdr:cNvPr id="449" name="Text Box 10">
          <a:extLst>
            <a:ext uri="{FF2B5EF4-FFF2-40B4-BE49-F238E27FC236}">
              <a16:creationId xmlns="" xmlns:a16="http://schemas.microsoft.com/office/drawing/2014/main" id="{00000000-0008-0000-0200-0000C1010000}"/>
            </a:ext>
          </a:extLst>
        </xdr:cNvPr>
        <xdr:cNvSpPr txBox="1">
          <a:spLocks noChangeArrowheads="1"/>
        </xdr:cNvSpPr>
      </xdr:nvSpPr>
      <xdr:spPr bwMode="auto">
        <a:xfrm>
          <a:off x="3162300" y="425862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85725</xdr:colOff>
      <xdr:row>31</xdr:row>
      <xdr:rowOff>238125</xdr:rowOff>
    </xdr:to>
    <xdr:sp macro="" textlink="">
      <xdr:nvSpPr>
        <xdr:cNvPr id="450" name="Text Box 11">
          <a:extLst>
            <a:ext uri="{FF2B5EF4-FFF2-40B4-BE49-F238E27FC236}">
              <a16:creationId xmlns="" xmlns:a16="http://schemas.microsoft.com/office/drawing/2014/main" id="{00000000-0008-0000-0200-0000C2010000}"/>
            </a:ext>
          </a:extLst>
        </xdr:cNvPr>
        <xdr:cNvSpPr txBox="1">
          <a:spLocks noChangeArrowheads="1"/>
        </xdr:cNvSpPr>
      </xdr:nvSpPr>
      <xdr:spPr bwMode="auto">
        <a:xfrm>
          <a:off x="3162300" y="425862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85725</xdr:colOff>
      <xdr:row>31</xdr:row>
      <xdr:rowOff>238125</xdr:rowOff>
    </xdr:to>
    <xdr:sp macro="" textlink="">
      <xdr:nvSpPr>
        <xdr:cNvPr id="451" name="Text Box 12">
          <a:extLst>
            <a:ext uri="{FF2B5EF4-FFF2-40B4-BE49-F238E27FC236}">
              <a16:creationId xmlns="" xmlns:a16="http://schemas.microsoft.com/office/drawing/2014/main" id="{00000000-0008-0000-0200-0000C3010000}"/>
            </a:ext>
          </a:extLst>
        </xdr:cNvPr>
        <xdr:cNvSpPr txBox="1">
          <a:spLocks noChangeArrowheads="1"/>
        </xdr:cNvSpPr>
      </xdr:nvSpPr>
      <xdr:spPr bwMode="auto">
        <a:xfrm>
          <a:off x="3162300" y="425862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452" name="Text Box 10">
          <a:extLst>
            <a:ext uri="{FF2B5EF4-FFF2-40B4-BE49-F238E27FC236}">
              <a16:creationId xmlns="" xmlns:a16="http://schemas.microsoft.com/office/drawing/2014/main" id="{00000000-0008-0000-0200-0000C401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453" name="Text Box 11">
          <a:extLst>
            <a:ext uri="{FF2B5EF4-FFF2-40B4-BE49-F238E27FC236}">
              <a16:creationId xmlns="" xmlns:a16="http://schemas.microsoft.com/office/drawing/2014/main" id="{00000000-0008-0000-0200-0000C501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454" name="Text Box 12">
          <a:extLst>
            <a:ext uri="{FF2B5EF4-FFF2-40B4-BE49-F238E27FC236}">
              <a16:creationId xmlns="" xmlns:a16="http://schemas.microsoft.com/office/drawing/2014/main" id="{00000000-0008-0000-0200-0000C601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85725</xdr:colOff>
      <xdr:row>31</xdr:row>
      <xdr:rowOff>238125</xdr:rowOff>
    </xdr:to>
    <xdr:sp macro="" textlink="">
      <xdr:nvSpPr>
        <xdr:cNvPr id="455" name="Text Box 10">
          <a:extLst>
            <a:ext uri="{FF2B5EF4-FFF2-40B4-BE49-F238E27FC236}">
              <a16:creationId xmlns="" xmlns:a16="http://schemas.microsoft.com/office/drawing/2014/main" id="{00000000-0008-0000-0200-0000C7010000}"/>
            </a:ext>
          </a:extLst>
        </xdr:cNvPr>
        <xdr:cNvSpPr txBox="1">
          <a:spLocks noChangeArrowheads="1"/>
        </xdr:cNvSpPr>
      </xdr:nvSpPr>
      <xdr:spPr bwMode="auto">
        <a:xfrm>
          <a:off x="3162300" y="425862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85725</xdr:colOff>
      <xdr:row>31</xdr:row>
      <xdr:rowOff>238125</xdr:rowOff>
    </xdr:to>
    <xdr:sp macro="" textlink="">
      <xdr:nvSpPr>
        <xdr:cNvPr id="456" name="Text Box 11">
          <a:extLst>
            <a:ext uri="{FF2B5EF4-FFF2-40B4-BE49-F238E27FC236}">
              <a16:creationId xmlns="" xmlns:a16="http://schemas.microsoft.com/office/drawing/2014/main" id="{00000000-0008-0000-0200-0000C8010000}"/>
            </a:ext>
          </a:extLst>
        </xdr:cNvPr>
        <xdr:cNvSpPr txBox="1">
          <a:spLocks noChangeArrowheads="1"/>
        </xdr:cNvSpPr>
      </xdr:nvSpPr>
      <xdr:spPr bwMode="auto">
        <a:xfrm>
          <a:off x="3162300" y="425862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85725</xdr:colOff>
      <xdr:row>31</xdr:row>
      <xdr:rowOff>238125</xdr:rowOff>
    </xdr:to>
    <xdr:sp macro="" textlink="">
      <xdr:nvSpPr>
        <xdr:cNvPr id="457" name="Text Box 12">
          <a:extLst>
            <a:ext uri="{FF2B5EF4-FFF2-40B4-BE49-F238E27FC236}">
              <a16:creationId xmlns="" xmlns:a16="http://schemas.microsoft.com/office/drawing/2014/main" id="{00000000-0008-0000-0200-0000C9010000}"/>
            </a:ext>
          </a:extLst>
        </xdr:cNvPr>
        <xdr:cNvSpPr txBox="1">
          <a:spLocks noChangeArrowheads="1"/>
        </xdr:cNvSpPr>
      </xdr:nvSpPr>
      <xdr:spPr bwMode="auto">
        <a:xfrm>
          <a:off x="3162300" y="425862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458" name="Text Box 10">
          <a:extLst>
            <a:ext uri="{FF2B5EF4-FFF2-40B4-BE49-F238E27FC236}">
              <a16:creationId xmlns="" xmlns:a16="http://schemas.microsoft.com/office/drawing/2014/main" id="{00000000-0008-0000-0200-0000CA01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459" name="Text Box 11">
          <a:extLst>
            <a:ext uri="{FF2B5EF4-FFF2-40B4-BE49-F238E27FC236}">
              <a16:creationId xmlns="" xmlns:a16="http://schemas.microsoft.com/office/drawing/2014/main" id="{00000000-0008-0000-0200-0000CB01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460" name="Text Box 12">
          <a:extLst>
            <a:ext uri="{FF2B5EF4-FFF2-40B4-BE49-F238E27FC236}">
              <a16:creationId xmlns="" xmlns:a16="http://schemas.microsoft.com/office/drawing/2014/main" id="{00000000-0008-0000-0200-0000CC01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461" name="Text Box 10">
          <a:extLst>
            <a:ext uri="{FF2B5EF4-FFF2-40B4-BE49-F238E27FC236}">
              <a16:creationId xmlns="" xmlns:a16="http://schemas.microsoft.com/office/drawing/2014/main" id="{00000000-0008-0000-0200-0000CD01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462" name="Text Box 11">
          <a:extLst>
            <a:ext uri="{FF2B5EF4-FFF2-40B4-BE49-F238E27FC236}">
              <a16:creationId xmlns="" xmlns:a16="http://schemas.microsoft.com/office/drawing/2014/main" id="{00000000-0008-0000-0200-0000CE01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463" name="Text Box 12">
          <a:extLst>
            <a:ext uri="{FF2B5EF4-FFF2-40B4-BE49-F238E27FC236}">
              <a16:creationId xmlns="" xmlns:a16="http://schemas.microsoft.com/office/drawing/2014/main" id="{00000000-0008-0000-0200-0000CF01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464" name="Text Box 10">
          <a:extLst>
            <a:ext uri="{FF2B5EF4-FFF2-40B4-BE49-F238E27FC236}">
              <a16:creationId xmlns="" xmlns:a16="http://schemas.microsoft.com/office/drawing/2014/main" id="{00000000-0008-0000-0200-0000D001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465" name="Text Box 11">
          <a:extLst>
            <a:ext uri="{FF2B5EF4-FFF2-40B4-BE49-F238E27FC236}">
              <a16:creationId xmlns="" xmlns:a16="http://schemas.microsoft.com/office/drawing/2014/main" id="{00000000-0008-0000-0200-0000D101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466" name="Text Box 12">
          <a:extLst>
            <a:ext uri="{FF2B5EF4-FFF2-40B4-BE49-F238E27FC236}">
              <a16:creationId xmlns="" xmlns:a16="http://schemas.microsoft.com/office/drawing/2014/main" id="{00000000-0008-0000-0200-0000D201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85725</xdr:colOff>
      <xdr:row>31</xdr:row>
      <xdr:rowOff>238125</xdr:rowOff>
    </xdr:to>
    <xdr:sp macro="" textlink="">
      <xdr:nvSpPr>
        <xdr:cNvPr id="467" name="Text Box 10">
          <a:extLst>
            <a:ext uri="{FF2B5EF4-FFF2-40B4-BE49-F238E27FC236}">
              <a16:creationId xmlns="" xmlns:a16="http://schemas.microsoft.com/office/drawing/2014/main" id="{00000000-0008-0000-0200-0000D3010000}"/>
            </a:ext>
          </a:extLst>
        </xdr:cNvPr>
        <xdr:cNvSpPr txBox="1">
          <a:spLocks noChangeArrowheads="1"/>
        </xdr:cNvSpPr>
      </xdr:nvSpPr>
      <xdr:spPr bwMode="auto">
        <a:xfrm>
          <a:off x="3162300" y="425862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85725</xdr:colOff>
      <xdr:row>31</xdr:row>
      <xdr:rowOff>238125</xdr:rowOff>
    </xdr:to>
    <xdr:sp macro="" textlink="">
      <xdr:nvSpPr>
        <xdr:cNvPr id="468" name="Text Box 11">
          <a:extLst>
            <a:ext uri="{FF2B5EF4-FFF2-40B4-BE49-F238E27FC236}">
              <a16:creationId xmlns="" xmlns:a16="http://schemas.microsoft.com/office/drawing/2014/main" id="{00000000-0008-0000-0200-0000D4010000}"/>
            </a:ext>
          </a:extLst>
        </xdr:cNvPr>
        <xdr:cNvSpPr txBox="1">
          <a:spLocks noChangeArrowheads="1"/>
        </xdr:cNvSpPr>
      </xdr:nvSpPr>
      <xdr:spPr bwMode="auto">
        <a:xfrm>
          <a:off x="3162300" y="425862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85725</xdr:colOff>
      <xdr:row>31</xdr:row>
      <xdr:rowOff>238125</xdr:rowOff>
    </xdr:to>
    <xdr:sp macro="" textlink="">
      <xdr:nvSpPr>
        <xdr:cNvPr id="469" name="Text Box 12">
          <a:extLst>
            <a:ext uri="{FF2B5EF4-FFF2-40B4-BE49-F238E27FC236}">
              <a16:creationId xmlns="" xmlns:a16="http://schemas.microsoft.com/office/drawing/2014/main" id="{00000000-0008-0000-0200-0000D5010000}"/>
            </a:ext>
          </a:extLst>
        </xdr:cNvPr>
        <xdr:cNvSpPr txBox="1">
          <a:spLocks noChangeArrowheads="1"/>
        </xdr:cNvSpPr>
      </xdr:nvSpPr>
      <xdr:spPr bwMode="auto">
        <a:xfrm>
          <a:off x="3162300" y="425862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470" name="Text Box 10">
          <a:extLst>
            <a:ext uri="{FF2B5EF4-FFF2-40B4-BE49-F238E27FC236}">
              <a16:creationId xmlns="" xmlns:a16="http://schemas.microsoft.com/office/drawing/2014/main" id="{00000000-0008-0000-0200-0000D601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471" name="Text Box 11">
          <a:extLst>
            <a:ext uri="{FF2B5EF4-FFF2-40B4-BE49-F238E27FC236}">
              <a16:creationId xmlns="" xmlns:a16="http://schemas.microsoft.com/office/drawing/2014/main" id="{00000000-0008-0000-0200-0000D701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472" name="Text Box 12">
          <a:extLst>
            <a:ext uri="{FF2B5EF4-FFF2-40B4-BE49-F238E27FC236}">
              <a16:creationId xmlns="" xmlns:a16="http://schemas.microsoft.com/office/drawing/2014/main" id="{00000000-0008-0000-0200-0000D801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85725</xdr:colOff>
      <xdr:row>31</xdr:row>
      <xdr:rowOff>238125</xdr:rowOff>
    </xdr:to>
    <xdr:sp macro="" textlink="">
      <xdr:nvSpPr>
        <xdr:cNvPr id="473" name="Text Box 10">
          <a:extLst>
            <a:ext uri="{FF2B5EF4-FFF2-40B4-BE49-F238E27FC236}">
              <a16:creationId xmlns="" xmlns:a16="http://schemas.microsoft.com/office/drawing/2014/main" id="{00000000-0008-0000-0200-0000D9010000}"/>
            </a:ext>
          </a:extLst>
        </xdr:cNvPr>
        <xdr:cNvSpPr txBox="1">
          <a:spLocks noChangeArrowheads="1"/>
        </xdr:cNvSpPr>
      </xdr:nvSpPr>
      <xdr:spPr bwMode="auto">
        <a:xfrm>
          <a:off x="3162300" y="425862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85725</xdr:colOff>
      <xdr:row>31</xdr:row>
      <xdr:rowOff>238125</xdr:rowOff>
    </xdr:to>
    <xdr:sp macro="" textlink="">
      <xdr:nvSpPr>
        <xdr:cNvPr id="474" name="Text Box 11">
          <a:extLst>
            <a:ext uri="{FF2B5EF4-FFF2-40B4-BE49-F238E27FC236}">
              <a16:creationId xmlns="" xmlns:a16="http://schemas.microsoft.com/office/drawing/2014/main" id="{00000000-0008-0000-0200-0000DA010000}"/>
            </a:ext>
          </a:extLst>
        </xdr:cNvPr>
        <xdr:cNvSpPr txBox="1">
          <a:spLocks noChangeArrowheads="1"/>
        </xdr:cNvSpPr>
      </xdr:nvSpPr>
      <xdr:spPr bwMode="auto">
        <a:xfrm>
          <a:off x="3162300" y="425862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85725</xdr:colOff>
      <xdr:row>31</xdr:row>
      <xdr:rowOff>238125</xdr:rowOff>
    </xdr:to>
    <xdr:sp macro="" textlink="">
      <xdr:nvSpPr>
        <xdr:cNvPr id="475" name="Text Box 12">
          <a:extLst>
            <a:ext uri="{FF2B5EF4-FFF2-40B4-BE49-F238E27FC236}">
              <a16:creationId xmlns="" xmlns:a16="http://schemas.microsoft.com/office/drawing/2014/main" id="{00000000-0008-0000-0200-0000DB010000}"/>
            </a:ext>
          </a:extLst>
        </xdr:cNvPr>
        <xdr:cNvSpPr txBox="1">
          <a:spLocks noChangeArrowheads="1"/>
        </xdr:cNvSpPr>
      </xdr:nvSpPr>
      <xdr:spPr bwMode="auto">
        <a:xfrm>
          <a:off x="3162300" y="425862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476" name="Text Box 10">
          <a:extLst>
            <a:ext uri="{FF2B5EF4-FFF2-40B4-BE49-F238E27FC236}">
              <a16:creationId xmlns="" xmlns:a16="http://schemas.microsoft.com/office/drawing/2014/main" id="{00000000-0008-0000-0200-0000DC01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477" name="Text Box 11">
          <a:extLst>
            <a:ext uri="{FF2B5EF4-FFF2-40B4-BE49-F238E27FC236}">
              <a16:creationId xmlns="" xmlns:a16="http://schemas.microsoft.com/office/drawing/2014/main" id="{00000000-0008-0000-0200-0000DD01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478" name="Text Box 12">
          <a:extLst>
            <a:ext uri="{FF2B5EF4-FFF2-40B4-BE49-F238E27FC236}">
              <a16:creationId xmlns="" xmlns:a16="http://schemas.microsoft.com/office/drawing/2014/main" id="{00000000-0008-0000-0200-0000DE01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479" name="Text Box 10">
          <a:extLst>
            <a:ext uri="{FF2B5EF4-FFF2-40B4-BE49-F238E27FC236}">
              <a16:creationId xmlns="" xmlns:a16="http://schemas.microsoft.com/office/drawing/2014/main" id="{00000000-0008-0000-0200-0000DF01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480" name="Text Box 11">
          <a:extLst>
            <a:ext uri="{FF2B5EF4-FFF2-40B4-BE49-F238E27FC236}">
              <a16:creationId xmlns="" xmlns:a16="http://schemas.microsoft.com/office/drawing/2014/main" id="{00000000-0008-0000-0200-0000E001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481" name="Text Box 12">
          <a:extLst>
            <a:ext uri="{FF2B5EF4-FFF2-40B4-BE49-F238E27FC236}">
              <a16:creationId xmlns="" xmlns:a16="http://schemas.microsoft.com/office/drawing/2014/main" id="{00000000-0008-0000-0200-0000E101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482" name="Text Box 10">
          <a:extLst>
            <a:ext uri="{FF2B5EF4-FFF2-40B4-BE49-F238E27FC236}">
              <a16:creationId xmlns="" xmlns:a16="http://schemas.microsoft.com/office/drawing/2014/main" id="{00000000-0008-0000-0200-0000E201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483" name="Text Box 11">
          <a:extLst>
            <a:ext uri="{FF2B5EF4-FFF2-40B4-BE49-F238E27FC236}">
              <a16:creationId xmlns="" xmlns:a16="http://schemas.microsoft.com/office/drawing/2014/main" id="{00000000-0008-0000-0200-0000E301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484" name="Text Box 12">
          <a:extLst>
            <a:ext uri="{FF2B5EF4-FFF2-40B4-BE49-F238E27FC236}">
              <a16:creationId xmlns="" xmlns:a16="http://schemas.microsoft.com/office/drawing/2014/main" id="{00000000-0008-0000-0200-0000E401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85725</xdr:colOff>
      <xdr:row>31</xdr:row>
      <xdr:rowOff>238125</xdr:rowOff>
    </xdr:to>
    <xdr:sp macro="" textlink="">
      <xdr:nvSpPr>
        <xdr:cNvPr id="485" name="Text Box 10">
          <a:extLst>
            <a:ext uri="{FF2B5EF4-FFF2-40B4-BE49-F238E27FC236}">
              <a16:creationId xmlns="" xmlns:a16="http://schemas.microsoft.com/office/drawing/2014/main" id="{00000000-0008-0000-0200-0000E5010000}"/>
            </a:ext>
          </a:extLst>
        </xdr:cNvPr>
        <xdr:cNvSpPr txBox="1">
          <a:spLocks noChangeArrowheads="1"/>
        </xdr:cNvSpPr>
      </xdr:nvSpPr>
      <xdr:spPr bwMode="auto">
        <a:xfrm>
          <a:off x="3162300" y="425862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85725</xdr:colOff>
      <xdr:row>31</xdr:row>
      <xdr:rowOff>238125</xdr:rowOff>
    </xdr:to>
    <xdr:sp macro="" textlink="">
      <xdr:nvSpPr>
        <xdr:cNvPr id="486" name="Text Box 11">
          <a:extLst>
            <a:ext uri="{FF2B5EF4-FFF2-40B4-BE49-F238E27FC236}">
              <a16:creationId xmlns="" xmlns:a16="http://schemas.microsoft.com/office/drawing/2014/main" id="{00000000-0008-0000-0200-0000E6010000}"/>
            </a:ext>
          </a:extLst>
        </xdr:cNvPr>
        <xdr:cNvSpPr txBox="1">
          <a:spLocks noChangeArrowheads="1"/>
        </xdr:cNvSpPr>
      </xdr:nvSpPr>
      <xdr:spPr bwMode="auto">
        <a:xfrm>
          <a:off x="3162300" y="425862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85725</xdr:colOff>
      <xdr:row>31</xdr:row>
      <xdr:rowOff>238125</xdr:rowOff>
    </xdr:to>
    <xdr:sp macro="" textlink="">
      <xdr:nvSpPr>
        <xdr:cNvPr id="487" name="Text Box 12">
          <a:extLst>
            <a:ext uri="{FF2B5EF4-FFF2-40B4-BE49-F238E27FC236}">
              <a16:creationId xmlns="" xmlns:a16="http://schemas.microsoft.com/office/drawing/2014/main" id="{00000000-0008-0000-0200-0000E7010000}"/>
            </a:ext>
          </a:extLst>
        </xdr:cNvPr>
        <xdr:cNvSpPr txBox="1">
          <a:spLocks noChangeArrowheads="1"/>
        </xdr:cNvSpPr>
      </xdr:nvSpPr>
      <xdr:spPr bwMode="auto">
        <a:xfrm>
          <a:off x="3162300" y="425862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488" name="Text Box 10">
          <a:extLst>
            <a:ext uri="{FF2B5EF4-FFF2-40B4-BE49-F238E27FC236}">
              <a16:creationId xmlns="" xmlns:a16="http://schemas.microsoft.com/office/drawing/2014/main" id="{00000000-0008-0000-0200-0000E801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489" name="Text Box 11">
          <a:extLst>
            <a:ext uri="{FF2B5EF4-FFF2-40B4-BE49-F238E27FC236}">
              <a16:creationId xmlns="" xmlns:a16="http://schemas.microsoft.com/office/drawing/2014/main" id="{00000000-0008-0000-0200-0000E901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490" name="Text Box 12">
          <a:extLst>
            <a:ext uri="{FF2B5EF4-FFF2-40B4-BE49-F238E27FC236}">
              <a16:creationId xmlns="" xmlns:a16="http://schemas.microsoft.com/office/drawing/2014/main" id="{00000000-0008-0000-0200-0000EA01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85725</xdr:colOff>
      <xdr:row>31</xdr:row>
      <xdr:rowOff>238125</xdr:rowOff>
    </xdr:to>
    <xdr:sp macro="" textlink="">
      <xdr:nvSpPr>
        <xdr:cNvPr id="491" name="Text Box 10">
          <a:extLst>
            <a:ext uri="{FF2B5EF4-FFF2-40B4-BE49-F238E27FC236}">
              <a16:creationId xmlns="" xmlns:a16="http://schemas.microsoft.com/office/drawing/2014/main" id="{00000000-0008-0000-0200-0000EB010000}"/>
            </a:ext>
          </a:extLst>
        </xdr:cNvPr>
        <xdr:cNvSpPr txBox="1">
          <a:spLocks noChangeArrowheads="1"/>
        </xdr:cNvSpPr>
      </xdr:nvSpPr>
      <xdr:spPr bwMode="auto">
        <a:xfrm>
          <a:off x="3162300" y="425862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85725</xdr:colOff>
      <xdr:row>31</xdr:row>
      <xdr:rowOff>238125</xdr:rowOff>
    </xdr:to>
    <xdr:sp macro="" textlink="">
      <xdr:nvSpPr>
        <xdr:cNvPr id="492" name="Text Box 11">
          <a:extLst>
            <a:ext uri="{FF2B5EF4-FFF2-40B4-BE49-F238E27FC236}">
              <a16:creationId xmlns="" xmlns:a16="http://schemas.microsoft.com/office/drawing/2014/main" id="{00000000-0008-0000-0200-0000EC010000}"/>
            </a:ext>
          </a:extLst>
        </xdr:cNvPr>
        <xdr:cNvSpPr txBox="1">
          <a:spLocks noChangeArrowheads="1"/>
        </xdr:cNvSpPr>
      </xdr:nvSpPr>
      <xdr:spPr bwMode="auto">
        <a:xfrm>
          <a:off x="3162300" y="425862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85725</xdr:colOff>
      <xdr:row>31</xdr:row>
      <xdr:rowOff>238125</xdr:rowOff>
    </xdr:to>
    <xdr:sp macro="" textlink="">
      <xdr:nvSpPr>
        <xdr:cNvPr id="493" name="Text Box 12">
          <a:extLst>
            <a:ext uri="{FF2B5EF4-FFF2-40B4-BE49-F238E27FC236}">
              <a16:creationId xmlns="" xmlns:a16="http://schemas.microsoft.com/office/drawing/2014/main" id="{00000000-0008-0000-0200-0000ED010000}"/>
            </a:ext>
          </a:extLst>
        </xdr:cNvPr>
        <xdr:cNvSpPr txBox="1">
          <a:spLocks noChangeArrowheads="1"/>
        </xdr:cNvSpPr>
      </xdr:nvSpPr>
      <xdr:spPr bwMode="auto">
        <a:xfrm>
          <a:off x="3162300" y="425862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494" name="Text Box 10">
          <a:extLst>
            <a:ext uri="{FF2B5EF4-FFF2-40B4-BE49-F238E27FC236}">
              <a16:creationId xmlns="" xmlns:a16="http://schemas.microsoft.com/office/drawing/2014/main" id="{00000000-0008-0000-0200-0000EE01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495" name="Text Box 11">
          <a:extLst>
            <a:ext uri="{FF2B5EF4-FFF2-40B4-BE49-F238E27FC236}">
              <a16:creationId xmlns="" xmlns:a16="http://schemas.microsoft.com/office/drawing/2014/main" id="{00000000-0008-0000-0200-0000EF01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496" name="Text Box 12">
          <a:extLst>
            <a:ext uri="{FF2B5EF4-FFF2-40B4-BE49-F238E27FC236}">
              <a16:creationId xmlns="" xmlns:a16="http://schemas.microsoft.com/office/drawing/2014/main" id="{00000000-0008-0000-0200-0000F001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497" name="Text Box 10">
          <a:extLst>
            <a:ext uri="{FF2B5EF4-FFF2-40B4-BE49-F238E27FC236}">
              <a16:creationId xmlns="" xmlns:a16="http://schemas.microsoft.com/office/drawing/2014/main" id="{00000000-0008-0000-0200-0000F101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498" name="Text Box 11">
          <a:extLst>
            <a:ext uri="{FF2B5EF4-FFF2-40B4-BE49-F238E27FC236}">
              <a16:creationId xmlns="" xmlns:a16="http://schemas.microsoft.com/office/drawing/2014/main" id="{00000000-0008-0000-0200-0000F201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499" name="Text Box 12">
          <a:extLst>
            <a:ext uri="{FF2B5EF4-FFF2-40B4-BE49-F238E27FC236}">
              <a16:creationId xmlns="" xmlns:a16="http://schemas.microsoft.com/office/drawing/2014/main" id="{00000000-0008-0000-0200-0000F301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500" name="Text Box 10">
          <a:extLst>
            <a:ext uri="{FF2B5EF4-FFF2-40B4-BE49-F238E27FC236}">
              <a16:creationId xmlns="" xmlns:a16="http://schemas.microsoft.com/office/drawing/2014/main" id="{00000000-0008-0000-0200-0000F401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501" name="Text Box 11">
          <a:extLst>
            <a:ext uri="{FF2B5EF4-FFF2-40B4-BE49-F238E27FC236}">
              <a16:creationId xmlns="" xmlns:a16="http://schemas.microsoft.com/office/drawing/2014/main" id="{00000000-0008-0000-0200-0000F501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502" name="Text Box 12">
          <a:extLst>
            <a:ext uri="{FF2B5EF4-FFF2-40B4-BE49-F238E27FC236}">
              <a16:creationId xmlns="" xmlns:a16="http://schemas.microsoft.com/office/drawing/2014/main" id="{00000000-0008-0000-0200-0000F601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503" name="Text Box 10">
          <a:extLst>
            <a:ext uri="{FF2B5EF4-FFF2-40B4-BE49-F238E27FC236}">
              <a16:creationId xmlns="" xmlns:a16="http://schemas.microsoft.com/office/drawing/2014/main" id="{00000000-0008-0000-0200-0000F701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504" name="Text Box 11">
          <a:extLst>
            <a:ext uri="{FF2B5EF4-FFF2-40B4-BE49-F238E27FC236}">
              <a16:creationId xmlns="" xmlns:a16="http://schemas.microsoft.com/office/drawing/2014/main" id="{00000000-0008-0000-0200-0000F801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505" name="Text Box 12">
          <a:extLst>
            <a:ext uri="{FF2B5EF4-FFF2-40B4-BE49-F238E27FC236}">
              <a16:creationId xmlns="" xmlns:a16="http://schemas.microsoft.com/office/drawing/2014/main" id="{00000000-0008-0000-0200-0000F901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506" name="Text Box 10">
          <a:extLst>
            <a:ext uri="{FF2B5EF4-FFF2-40B4-BE49-F238E27FC236}">
              <a16:creationId xmlns="" xmlns:a16="http://schemas.microsoft.com/office/drawing/2014/main" id="{00000000-0008-0000-0200-0000FA01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507" name="Text Box 11">
          <a:extLst>
            <a:ext uri="{FF2B5EF4-FFF2-40B4-BE49-F238E27FC236}">
              <a16:creationId xmlns="" xmlns:a16="http://schemas.microsoft.com/office/drawing/2014/main" id="{00000000-0008-0000-0200-0000FB01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508" name="Text Box 12">
          <a:extLst>
            <a:ext uri="{FF2B5EF4-FFF2-40B4-BE49-F238E27FC236}">
              <a16:creationId xmlns="" xmlns:a16="http://schemas.microsoft.com/office/drawing/2014/main" id="{00000000-0008-0000-0200-0000FC01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85725</xdr:colOff>
      <xdr:row>31</xdr:row>
      <xdr:rowOff>238125</xdr:rowOff>
    </xdr:to>
    <xdr:sp macro="" textlink="">
      <xdr:nvSpPr>
        <xdr:cNvPr id="509" name="Text Box 10">
          <a:extLst>
            <a:ext uri="{FF2B5EF4-FFF2-40B4-BE49-F238E27FC236}">
              <a16:creationId xmlns="" xmlns:a16="http://schemas.microsoft.com/office/drawing/2014/main" id="{00000000-0008-0000-0200-0000FD010000}"/>
            </a:ext>
          </a:extLst>
        </xdr:cNvPr>
        <xdr:cNvSpPr txBox="1">
          <a:spLocks noChangeArrowheads="1"/>
        </xdr:cNvSpPr>
      </xdr:nvSpPr>
      <xdr:spPr bwMode="auto">
        <a:xfrm>
          <a:off x="3162300" y="425862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85725</xdr:colOff>
      <xdr:row>31</xdr:row>
      <xdr:rowOff>238125</xdr:rowOff>
    </xdr:to>
    <xdr:sp macro="" textlink="">
      <xdr:nvSpPr>
        <xdr:cNvPr id="510" name="Text Box 11">
          <a:extLst>
            <a:ext uri="{FF2B5EF4-FFF2-40B4-BE49-F238E27FC236}">
              <a16:creationId xmlns="" xmlns:a16="http://schemas.microsoft.com/office/drawing/2014/main" id="{00000000-0008-0000-0200-0000FE010000}"/>
            </a:ext>
          </a:extLst>
        </xdr:cNvPr>
        <xdr:cNvSpPr txBox="1">
          <a:spLocks noChangeArrowheads="1"/>
        </xdr:cNvSpPr>
      </xdr:nvSpPr>
      <xdr:spPr bwMode="auto">
        <a:xfrm>
          <a:off x="3162300" y="425862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85725</xdr:colOff>
      <xdr:row>31</xdr:row>
      <xdr:rowOff>238125</xdr:rowOff>
    </xdr:to>
    <xdr:sp macro="" textlink="">
      <xdr:nvSpPr>
        <xdr:cNvPr id="511" name="Text Box 12">
          <a:extLst>
            <a:ext uri="{FF2B5EF4-FFF2-40B4-BE49-F238E27FC236}">
              <a16:creationId xmlns="" xmlns:a16="http://schemas.microsoft.com/office/drawing/2014/main" id="{00000000-0008-0000-0200-0000FF010000}"/>
            </a:ext>
          </a:extLst>
        </xdr:cNvPr>
        <xdr:cNvSpPr txBox="1">
          <a:spLocks noChangeArrowheads="1"/>
        </xdr:cNvSpPr>
      </xdr:nvSpPr>
      <xdr:spPr bwMode="auto">
        <a:xfrm>
          <a:off x="3162300" y="425862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512" name="Text Box 10">
          <a:extLst>
            <a:ext uri="{FF2B5EF4-FFF2-40B4-BE49-F238E27FC236}">
              <a16:creationId xmlns="" xmlns:a16="http://schemas.microsoft.com/office/drawing/2014/main" id="{00000000-0008-0000-0200-00000002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513" name="Text Box 11">
          <a:extLst>
            <a:ext uri="{FF2B5EF4-FFF2-40B4-BE49-F238E27FC236}">
              <a16:creationId xmlns="" xmlns:a16="http://schemas.microsoft.com/office/drawing/2014/main" id="{00000000-0008-0000-0200-00000102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514" name="Text Box 12">
          <a:extLst>
            <a:ext uri="{FF2B5EF4-FFF2-40B4-BE49-F238E27FC236}">
              <a16:creationId xmlns="" xmlns:a16="http://schemas.microsoft.com/office/drawing/2014/main" id="{00000000-0008-0000-0200-00000202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85725</xdr:colOff>
      <xdr:row>31</xdr:row>
      <xdr:rowOff>238125</xdr:rowOff>
    </xdr:to>
    <xdr:sp macro="" textlink="">
      <xdr:nvSpPr>
        <xdr:cNvPr id="515" name="Text Box 10">
          <a:extLst>
            <a:ext uri="{FF2B5EF4-FFF2-40B4-BE49-F238E27FC236}">
              <a16:creationId xmlns="" xmlns:a16="http://schemas.microsoft.com/office/drawing/2014/main" id="{00000000-0008-0000-0200-000003020000}"/>
            </a:ext>
          </a:extLst>
        </xdr:cNvPr>
        <xdr:cNvSpPr txBox="1">
          <a:spLocks noChangeArrowheads="1"/>
        </xdr:cNvSpPr>
      </xdr:nvSpPr>
      <xdr:spPr bwMode="auto">
        <a:xfrm>
          <a:off x="3162300" y="425862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85725</xdr:colOff>
      <xdr:row>31</xdr:row>
      <xdr:rowOff>238125</xdr:rowOff>
    </xdr:to>
    <xdr:sp macro="" textlink="">
      <xdr:nvSpPr>
        <xdr:cNvPr id="516" name="Text Box 11">
          <a:extLst>
            <a:ext uri="{FF2B5EF4-FFF2-40B4-BE49-F238E27FC236}">
              <a16:creationId xmlns="" xmlns:a16="http://schemas.microsoft.com/office/drawing/2014/main" id="{00000000-0008-0000-0200-000004020000}"/>
            </a:ext>
          </a:extLst>
        </xdr:cNvPr>
        <xdr:cNvSpPr txBox="1">
          <a:spLocks noChangeArrowheads="1"/>
        </xdr:cNvSpPr>
      </xdr:nvSpPr>
      <xdr:spPr bwMode="auto">
        <a:xfrm>
          <a:off x="3162300" y="425862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85725</xdr:colOff>
      <xdr:row>31</xdr:row>
      <xdr:rowOff>238125</xdr:rowOff>
    </xdr:to>
    <xdr:sp macro="" textlink="">
      <xdr:nvSpPr>
        <xdr:cNvPr id="517" name="Text Box 12">
          <a:extLst>
            <a:ext uri="{FF2B5EF4-FFF2-40B4-BE49-F238E27FC236}">
              <a16:creationId xmlns="" xmlns:a16="http://schemas.microsoft.com/office/drawing/2014/main" id="{00000000-0008-0000-0200-000005020000}"/>
            </a:ext>
          </a:extLst>
        </xdr:cNvPr>
        <xdr:cNvSpPr txBox="1">
          <a:spLocks noChangeArrowheads="1"/>
        </xdr:cNvSpPr>
      </xdr:nvSpPr>
      <xdr:spPr bwMode="auto">
        <a:xfrm>
          <a:off x="3162300" y="425862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518" name="Text Box 10">
          <a:extLst>
            <a:ext uri="{FF2B5EF4-FFF2-40B4-BE49-F238E27FC236}">
              <a16:creationId xmlns="" xmlns:a16="http://schemas.microsoft.com/office/drawing/2014/main" id="{00000000-0008-0000-0200-00000602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519" name="Text Box 11">
          <a:extLst>
            <a:ext uri="{FF2B5EF4-FFF2-40B4-BE49-F238E27FC236}">
              <a16:creationId xmlns="" xmlns:a16="http://schemas.microsoft.com/office/drawing/2014/main" id="{00000000-0008-0000-0200-00000702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520" name="Text Box 12">
          <a:extLst>
            <a:ext uri="{FF2B5EF4-FFF2-40B4-BE49-F238E27FC236}">
              <a16:creationId xmlns="" xmlns:a16="http://schemas.microsoft.com/office/drawing/2014/main" id="{00000000-0008-0000-0200-00000802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521" name="Text Box 10">
          <a:extLst>
            <a:ext uri="{FF2B5EF4-FFF2-40B4-BE49-F238E27FC236}">
              <a16:creationId xmlns="" xmlns:a16="http://schemas.microsoft.com/office/drawing/2014/main" id="{00000000-0008-0000-0200-00000902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522" name="Text Box 11">
          <a:extLst>
            <a:ext uri="{FF2B5EF4-FFF2-40B4-BE49-F238E27FC236}">
              <a16:creationId xmlns="" xmlns:a16="http://schemas.microsoft.com/office/drawing/2014/main" id="{00000000-0008-0000-0200-00000A02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523" name="Text Box 12">
          <a:extLst>
            <a:ext uri="{FF2B5EF4-FFF2-40B4-BE49-F238E27FC236}">
              <a16:creationId xmlns="" xmlns:a16="http://schemas.microsoft.com/office/drawing/2014/main" id="{00000000-0008-0000-0200-00000B02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524" name="Text Box 10">
          <a:extLst>
            <a:ext uri="{FF2B5EF4-FFF2-40B4-BE49-F238E27FC236}">
              <a16:creationId xmlns="" xmlns:a16="http://schemas.microsoft.com/office/drawing/2014/main" id="{00000000-0008-0000-0200-00000C02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525" name="Text Box 11">
          <a:extLst>
            <a:ext uri="{FF2B5EF4-FFF2-40B4-BE49-F238E27FC236}">
              <a16:creationId xmlns="" xmlns:a16="http://schemas.microsoft.com/office/drawing/2014/main" id="{00000000-0008-0000-0200-00000D02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526" name="Text Box 12">
          <a:extLst>
            <a:ext uri="{FF2B5EF4-FFF2-40B4-BE49-F238E27FC236}">
              <a16:creationId xmlns="" xmlns:a16="http://schemas.microsoft.com/office/drawing/2014/main" id="{00000000-0008-0000-0200-00000E02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85725</xdr:colOff>
      <xdr:row>31</xdr:row>
      <xdr:rowOff>238125</xdr:rowOff>
    </xdr:to>
    <xdr:sp macro="" textlink="">
      <xdr:nvSpPr>
        <xdr:cNvPr id="527" name="Text Box 10">
          <a:extLst>
            <a:ext uri="{FF2B5EF4-FFF2-40B4-BE49-F238E27FC236}">
              <a16:creationId xmlns="" xmlns:a16="http://schemas.microsoft.com/office/drawing/2014/main" id="{00000000-0008-0000-0200-00000F020000}"/>
            </a:ext>
          </a:extLst>
        </xdr:cNvPr>
        <xdr:cNvSpPr txBox="1">
          <a:spLocks noChangeArrowheads="1"/>
        </xdr:cNvSpPr>
      </xdr:nvSpPr>
      <xdr:spPr bwMode="auto">
        <a:xfrm>
          <a:off x="3162300" y="425862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85725</xdr:colOff>
      <xdr:row>31</xdr:row>
      <xdr:rowOff>238125</xdr:rowOff>
    </xdr:to>
    <xdr:sp macro="" textlink="">
      <xdr:nvSpPr>
        <xdr:cNvPr id="528" name="Text Box 11">
          <a:extLst>
            <a:ext uri="{FF2B5EF4-FFF2-40B4-BE49-F238E27FC236}">
              <a16:creationId xmlns="" xmlns:a16="http://schemas.microsoft.com/office/drawing/2014/main" id="{00000000-0008-0000-0200-000010020000}"/>
            </a:ext>
          </a:extLst>
        </xdr:cNvPr>
        <xdr:cNvSpPr txBox="1">
          <a:spLocks noChangeArrowheads="1"/>
        </xdr:cNvSpPr>
      </xdr:nvSpPr>
      <xdr:spPr bwMode="auto">
        <a:xfrm>
          <a:off x="3162300" y="425862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85725</xdr:colOff>
      <xdr:row>31</xdr:row>
      <xdr:rowOff>238125</xdr:rowOff>
    </xdr:to>
    <xdr:sp macro="" textlink="">
      <xdr:nvSpPr>
        <xdr:cNvPr id="529" name="Text Box 12">
          <a:extLst>
            <a:ext uri="{FF2B5EF4-FFF2-40B4-BE49-F238E27FC236}">
              <a16:creationId xmlns="" xmlns:a16="http://schemas.microsoft.com/office/drawing/2014/main" id="{00000000-0008-0000-0200-000011020000}"/>
            </a:ext>
          </a:extLst>
        </xdr:cNvPr>
        <xdr:cNvSpPr txBox="1">
          <a:spLocks noChangeArrowheads="1"/>
        </xdr:cNvSpPr>
      </xdr:nvSpPr>
      <xdr:spPr bwMode="auto">
        <a:xfrm>
          <a:off x="3162300" y="425862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530" name="Text Box 10">
          <a:extLst>
            <a:ext uri="{FF2B5EF4-FFF2-40B4-BE49-F238E27FC236}">
              <a16:creationId xmlns="" xmlns:a16="http://schemas.microsoft.com/office/drawing/2014/main" id="{00000000-0008-0000-0200-00001202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531" name="Text Box 11">
          <a:extLst>
            <a:ext uri="{FF2B5EF4-FFF2-40B4-BE49-F238E27FC236}">
              <a16:creationId xmlns="" xmlns:a16="http://schemas.microsoft.com/office/drawing/2014/main" id="{00000000-0008-0000-0200-00001302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532" name="Text Box 12">
          <a:extLst>
            <a:ext uri="{FF2B5EF4-FFF2-40B4-BE49-F238E27FC236}">
              <a16:creationId xmlns="" xmlns:a16="http://schemas.microsoft.com/office/drawing/2014/main" id="{00000000-0008-0000-0200-00001402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85725</xdr:colOff>
      <xdr:row>31</xdr:row>
      <xdr:rowOff>238125</xdr:rowOff>
    </xdr:to>
    <xdr:sp macro="" textlink="">
      <xdr:nvSpPr>
        <xdr:cNvPr id="533" name="Text Box 10">
          <a:extLst>
            <a:ext uri="{FF2B5EF4-FFF2-40B4-BE49-F238E27FC236}">
              <a16:creationId xmlns="" xmlns:a16="http://schemas.microsoft.com/office/drawing/2014/main" id="{00000000-0008-0000-0200-000015020000}"/>
            </a:ext>
          </a:extLst>
        </xdr:cNvPr>
        <xdr:cNvSpPr txBox="1">
          <a:spLocks noChangeArrowheads="1"/>
        </xdr:cNvSpPr>
      </xdr:nvSpPr>
      <xdr:spPr bwMode="auto">
        <a:xfrm>
          <a:off x="3162300" y="425862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85725</xdr:colOff>
      <xdr:row>31</xdr:row>
      <xdr:rowOff>238125</xdr:rowOff>
    </xdr:to>
    <xdr:sp macro="" textlink="">
      <xdr:nvSpPr>
        <xdr:cNvPr id="534" name="Text Box 11">
          <a:extLst>
            <a:ext uri="{FF2B5EF4-FFF2-40B4-BE49-F238E27FC236}">
              <a16:creationId xmlns="" xmlns:a16="http://schemas.microsoft.com/office/drawing/2014/main" id="{00000000-0008-0000-0200-000016020000}"/>
            </a:ext>
          </a:extLst>
        </xdr:cNvPr>
        <xdr:cNvSpPr txBox="1">
          <a:spLocks noChangeArrowheads="1"/>
        </xdr:cNvSpPr>
      </xdr:nvSpPr>
      <xdr:spPr bwMode="auto">
        <a:xfrm>
          <a:off x="3162300" y="425862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85725</xdr:colOff>
      <xdr:row>31</xdr:row>
      <xdr:rowOff>238125</xdr:rowOff>
    </xdr:to>
    <xdr:sp macro="" textlink="">
      <xdr:nvSpPr>
        <xdr:cNvPr id="535" name="Text Box 12">
          <a:extLst>
            <a:ext uri="{FF2B5EF4-FFF2-40B4-BE49-F238E27FC236}">
              <a16:creationId xmlns="" xmlns:a16="http://schemas.microsoft.com/office/drawing/2014/main" id="{00000000-0008-0000-0200-000017020000}"/>
            </a:ext>
          </a:extLst>
        </xdr:cNvPr>
        <xdr:cNvSpPr txBox="1">
          <a:spLocks noChangeArrowheads="1"/>
        </xdr:cNvSpPr>
      </xdr:nvSpPr>
      <xdr:spPr bwMode="auto">
        <a:xfrm>
          <a:off x="3162300" y="425862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536" name="Text Box 10">
          <a:extLst>
            <a:ext uri="{FF2B5EF4-FFF2-40B4-BE49-F238E27FC236}">
              <a16:creationId xmlns="" xmlns:a16="http://schemas.microsoft.com/office/drawing/2014/main" id="{00000000-0008-0000-0200-00001802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537" name="Text Box 11">
          <a:extLst>
            <a:ext uri="{FF2B5EF4-FFF2-40B4-BE49-F238E27FC236}">
              <a16:creationId xmlns="" xmlns:a16="http://schemas.microsoft.com/office/drawing/2014/main" id="{00000000-0008-0000-0200-00001902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538" name="Text Box 12">
          <a:extLst>
            <a:ext uri="{FF2B5EF4-FFF2-40B4-BE49-F238E27FC236}">
              <a16:creationId xmlns="" xmlns:a16="http://schemas.microsoft.com/office/drawing/2014/main" id="{00000000-0008-0000-0200-00001A02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539" name="Text Box 10">
          <a:extLst>
            <a:ext uri="{FF2B5EF4-FFF2-40B4-BE49-F238E27FC236}">
              <a16:creationId xmlns="" xmlns:a16="http://schemas.microsoft.com/office/drawing/2014/main" id="{00000000-0008-0000-0200-00001B02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540" name="Text Box 11">
          <a:extLst>
            <a:ext uri="{FF2B5EF4-FFF2-40B4-BE49-F238E27FC236}">
              <a16:creationId xmlns="" xmlns:a16="http://schemas.microsoft.com/office/drawing/2014/main" id="{00000000-0008-0000-0200-00001C02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541" name="Text Box 12">
          <a:extLst>
            <a:ext uri="{FF2B5EF4-FFF2-40B4-BE49-F238E27FC236}">
              <a16:creationId xmlns="" xmlns:a16="http://schemas.microsoft.com/office/drawing/2014/main" id="{00000000-0008-0000-0200-00001D02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542" name="Text Box 10">
          <a:extLst>
            <a:ext uri="{FF2B5EF4-FFF2-40B4-BE49-F238E27FC236}">
              <a16:creationId xmlns="" xmlns:a16="http://schemas.microsoft.com/office/drawing/2014/main" id="{00000000-0008-0000-0200-00001E02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543" name="Text Box 11">
          <a:extLst>
            <a:ext uri="{FF2B5EF4-FFF2-40B4-BE49-F238E27FC236}">
              <a16:creationId xmlns="" xmlns:a16="http://schemas.microsoft.com/office/drawing/2014/main" id="{00000000-0008-0000-0200-00001F02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544" name="Text Box 12">
          <a:extLst>
            <a:ext uri="{FF2B5EF4-FFF2-40B4-BE49-F238E27FC236}">
              <a16:creationId xmlns="" xmlns:a16="http://schemas.microsoft.com/office/drawing/2014/main" id="{00000000-0008-0000-0200-00002002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85725</xdr:colOff>
      <xdr:row>31</xdr:row>
      <xdr:rowOff>238125</xdr:rowOff>
    </xdr:to>
    <xdr:sp macro="" textlink="">
      <xdr:nvSpPr>
        <xdr:cNvPr id="545" name="Text Box 10">
          <a:extLst>
            <a:ext uri="{FF2B5EF4-FFF2-40B4-BE49-F238E27FC236}">
              <a16:creationId xmlns="" xmlns:a16="http://schemas.microsoft.com/office/drawing/2014/main" id="{00000000-0008-0000-0200-000021020000}"/>
            </a:ext>
          </a:extLst>
        </xdr:cNvPr>
        <xdr:cNvSpPr txBox="1">
          <a:spLocks noChangeArrowheads="1"/>
        </xdr:cNvSpPr>
      </xdr:nvSpPr>
      <xdr:spPr bwMode="auto">
        <a:xfrm>
          <a:off x="3162300" y="425862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85725</xdr:colOff>
      <xdr:row>31</xdr:row>
      <xdr:rowOff>238125</xdr:rowOff>
    </xdr:to>
    <xdr:sp macro="" textlink="">
      <xdr:nvSpPr>
        <xdr:cNvPr id="546" name="Text Box 11">
          <a:extLst>
            <a:ext uri="{FF2B5EF4-FFF2-40B4-BE49-F238E27FC236}">
              <a16:creationId xmlns="" xmlns:a16="http://schemas.microsoft.com/office/drawing/2014/main" id="{00000000-0008-0000-0200-000022020000}"/>
            </a:ext>
          </a:extLst>
        </xdr:cNvPr>
        <xdr:cNvSpPr txBox="1">
          <a:spLocks noChangeArrowheads="1"/>
        </xdr:cNvSpPr>
      </xdr:nvSpPr>
      <xdr:spPr bwMode="auto">
        <a:xfrm>
          <a:off x="3162300" y="425862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85725</xdr:colOff>
      <xdr:row>31</xdr:row>
      <xdr:rowOff>238125</xdr:rowOff>
    </xdr:to>
    <xdr:sp macro="" textlink="">
      <xdr:nvSpPr>
        <xdr:cNvPr id="547" name="Text Box 12">
          <a:extLst>
            <a:ext uri="{FF2B5EF4-FFF2-40B4-BE49-F238E27FC236}">
              <a16:creationId xmlns="" xmlns:a16="http://schemas.microsoft.com/office/drawing/2014/main" id="{00000000-0008-0000-0200-000023020000}"/>
            </a:ext>
          </a:extLst>
        </xdr:cNvPr>
        <xdr:cNvSpPr txBox="1">
          <a:spLocks noChangeArrowheads="1"/>
        </xdr:cNvSpPr>
      </xdr:nvSpPr>
      <xdr:spPr bwMode="auto">
        <a:xfrm>
          <a:off x="3162300" y="425862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548" name="Text Box 10">
          <a:extLst>
            <a:ext uri="{FF2B5EF4-FFF2-40B4-BE49-F238E27FC236}">
              <a16:creationId xmlns="" xmlns:a16="http://schemas.microsoft.com/office/drawing/2014/main" id="{00000000-0008-0000-0200-00002402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549" name="Text Box 11">
          <a:extLst>
            <a:ext uri="{FF2B5EF4-FFF2-40B4-BE49-F238E27FC236}">
              <a16:creationId xmlns="" xmlns:a16="http://schemas.microsoft.com/office/drawing/2014/main" id="{00000000-0008-0000-0200-00002502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550" name="Text Box 12">
          <a:extLst>
            <a:ext uri="{FF2B5EF4-FFF2-40B4-BE49-F238E27FC236}">
              <a16:creationId xmlns="" xmlns:a16="http://schemas.microsoft.com/office/drawing/2014/main" id="{00000000-0008-0000-0200-00002602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85725</xdr:colOff>
      <xdr:row>31</xdr:row>
      <xdr:rowOff>238125</xdr:rowOff>
    </xdr:to>
    <xdr:sp macro="" textlink="">
      <xdr:nvSpPr>
        <xdr:cNvPr id="551" name="Text Box 10">
          <a:extLst>
            <a:ext uri="{FF2B5EF4-FFF2-40B4-BE49-F238E27FC236}">
              <a16:creationId xmlns="" xmlns:a16="http://schemas.microsoft.com/office/drawing/2014/main" id="{00000000-0008-0000-0200-000027020000}"/>
            </a:ext>
          </a:extLst>
        </xdr:cNvPr>
        <xdr:cNvSpPr txBox="1">
          <a:spLocks noChangeArrowheads="1"/>
        </xdr:cNvSpPr>
      </xdr:nvSpPr>
      <xdr:spPr bwMode="auto">
        <a:xfrm>
          <a:off x="3162300" y="425862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85725</xdr:colOff>
      <xdr:row>31</xdr:row>
      <xdr:rowOff>238125</xdr:rowOff>
    </xdr:to>
    <xdr:sp macro="" textlink="">
      <xdr:nvSpPr>
        <xdr:cNvPr id="552" name="Text Box 11">
          <a:extLst>
            <a:ext uri="{FF2B5EF4-FFF2-40B4-BE49-F238E27FC236}">
              <a16:creationId xmlns="" xmlns:a16="http://schemas.microsoft.com/office/drawing/2014/main" id="{00000000-0008-0000-0200-000028020000}"/>
            </a:ext>
          </a:extLst>
        </xdr:cNvPr>
        <xdr:cNvSpPr txBox="1">
          <a:spLocks noChangeArrowheads="1"/>
        </xdr:cNvSpPr>
      </xdr:nvSpPr>
      <xdr:spPr bwMode="auto">
        <a:xfrm>
          <a:off x="3162300" y="425862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85725</xdr:colOff>
      <xdr:row>31</xdr:row>
      <xdr:rowOff>238125</xdr:rowOff>
    </xdr:to>
    <xdr:sp macro="" textlink="">
      <xdr:nvSpPr>
        <xdr:cNvPr id="553" name="Text Box 12">
          <a:extLst>
            <a:ext uri="{FF2B5EF4-FFF2-40B4-BE49-F238E27FC236}">
              <a16:creationId xmlns="" xmlns:a16="http://schemas.microsoft.com/office/drawing/2014/main" id="{00000000-0008-0000-0200-000029020000}"/>
            </a:ext>
          </a:extLst>
        </xdr:cNvPr>
        <xdr:cNvSpPr txBox="1">
          <a:spLocks noChangeArrowheads="1"/>
        </xdr:cNvSpPr>
      </xdr:nvSpPr>
      <xdr:spPr bwMode="auto">
        <a:xfrm>
          <a:off x="3162300" y="425862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554" name="Text Box 10">
          <a:extLst>
            <a:ext uri="{FF2B5EF4-FFF2-40B4-BE49-F238E27FC236}">
              <a16:creationId xmlns="" xmlns:a16="http://schemas.microsoft.com/office/drawing/2014/main" id="{00000000-0008-0000-0200-00002A02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555" name="Text Box 11">
          <a:extLst>
            <a:ext uri="{FF2B5EF4-FFF2-40B4-BE49-F238E27FC236}">
              <a16:creationId xmlns="" xmlns:a16="http://schemas.microsoft.com/office/drawing/2014/main" id="{00000000-0008-0000-0200-00002B02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556" name="Text Box 12">
          <a:extLst>
            <a:ext uri="{FF2B5EF4-FFF2-40B4-BE49-F238E27FC236}">
              <a16:creationId xmlns="" xmlns:a16="http://schemas.microsoft.com/office/drawing/2014/main" id="{00000000-0008-0000-0200-00002C02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557" name="Text Box 10">
          <a:extLst>
            <a:ext uri="{FF2B5EF4-FFF2-40B4-BE49-F238E27FC236}">
              <a16:creationId xmlns="" xmlns:a16="http://schemas.microsoft.com/office/drawing/2014/main" id="{00000000-0008-0000-0200-00002D02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558" name="Text Box 11">
          <a:extLst>
            <a:ext uri="{FF2B5EF4-FFF2-40B4-BE49-F238E27FC236}">
              <a16:creationId xmlns="" xmlns:a16="http://schemas.microsoft.com/office/drawing/2014/main" id="{00000000-0008-0000-0200-00002E02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559" name="Text Box 12">
          <a:extLst>
            <a:ext uri="{FF2B5EF4-FFF2-40B4-BE49-F238E27FC236}">
              <a16:creationId xmlns="" xmlns:a16="http://schemas.microsoft.com/office/drawing/2014/main" id="{00000000-0008-0000-0200-00002F02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560" name="Text Box 10">
          <a:extLst>
            <a:ext uri="{FF2B5EF4-FFF2-40B4-BE49-F238E27FC236}">
              <a16:creationId xmlns="" xmlns:a16="http://schemas.microsoft.com/office/drawing/2014/main" id="{00000000-0008-0000-0200-00003002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561" name="Text Box 11">
          <a:extLst>
            <a:ext uri="{FF2B5EF4-FFF2-40B4-BE49-F238E27FC236}">
              <a16:creationId xmlns="" xmlns:a16="http://schemas.microsoft.com/office/drawing/2014/main" id="{00000000-0008-0000-0200-00003102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562" name="Text Box 12">
          <a:extLst>
            <a:ext uri="{FF2B5EF4-FFF2-40B4-BE49-F238E27FC236}">
              <a16:creationId xmlns="" xmlns:a16="http://schemas.microsoft.com/office/drawing/2014/main" id="{00000000-0008-0000-0200-00003202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563" name="Text Box 10">
          <a:extLst>
            <a:ext uri="{FF2B5EF4-FFF2-40B4-BE49-F238E27FC236}">
              <a16:creationId xmlns="" xmlns:a16="http://schemas.microsoft.com/office/drawing/2014/main" id="{00000000-0008-0000-0200-00003302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564" name="Text Box 11">
          <a:extLst>
            <a:ext uri="{FF2B5EF4-FFF2-40B4-BE49-F238E27FC236}">
              <a16:creationId xmlns="" xmlns:a16="http://schemas.microsoft.com/office/drawing/2014/main" id="{00000000-0008-0000-0200-00003402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565" name="Text Box 12">
          <a:extLst>
            <a:ext uri="{FF2B5EF4-FFF2-40B4-BE49-F238E27FC236}">
              <a16:creationId xmlns="" xmlns:a16="http://schemas.microsoft.com/office/drawing/2014/main" id="{00000000-0008-0000-0200-00003502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566" name="Text Box 10">
          <a:extLst>
            <a:ext uri="{FF2B5EF4-FFF2-40B4-BE49-F238E27FC236}">
              <a16:creationId xmlns="" xmlns:a16="http://schemas.microsoft.com/office/drawing/2014/main" id="{00000000-0008-0000-0200-00003602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567" name="Text Box 11">
          <a:extLst>
            <a:ext uri="{FF2B5EF4-FFF2-40B4-BE49-F238E27FC236}">
              <a16:creationId xmlns="" xmlns:a16="http://schemas.microsoft.com/office/drawing/2014/main" id="{00000000-0008-0000-0200-00003702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568" name="Text Box 12">
          <a:extLst>
            <a:ext uri="{FF2B5EF4-FFF2-40B4-BE49-F238E27FC236}">
              <a16:creationId xmlns="" xmlns:a16="http://schemas.microsoft.com/office/drawing/2014/main" id="{00000000-0008-0000-0200-00003802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569" name="Text Box 10">
          <a:extLst>
            <a:ext uri="{FF2B5EF4-FFF2-40B4-BE49-F238E27FC236}">
              <a16:creationId xmlns="" xmlns:a16="http://schemas.microsoft.com/office/drawing/2014/main" id="{00000000-0008-0000-0200-00003902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570" name="Text Box 11">
          <a:extLst>
            <a:ext uri="{FF2B5EF4-FFF2-40B4-BE49-F238E27FC236}">
              <a16:creationId xmlns="" xmlns:a16="http://schemas.microsoft.com/office/drawing/2014/main" id="{00000000-0008-0000-0200-00003A02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571" name="Text Box 12">
          <a:extLst>
            <a:ext uri="{FF2B5EF4-FFF2-40B4-BE49-F238E27FC236}">
              <a16:creationId xmlns="" xmlns:a16="http://schemas.microsoft.com/office/drawing/2014/main" id="{00000000-0008-0000-0200-00003B02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572" name="Text Box 10">
          <a:extLst>
            <a:ext uri="{FF2B5EF4-FFF2-40B4-BE49-F238E27FC236}">
              <a16:creationId xmlns="" xmlns:a16="http://schemas.microsoft.com/office/drawing/2014/main" id="{00000000-0008-0000-0200-00003C02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573" name="Text Box 11">
          <a:extLst>
            <a:ext uri="{FF2B5EF4-FFF2-40B4-BE49-F238E27FC236}">
              <a16:creationId xmlns="" xmlns:a16="http://schemas.microsoft.com/office/drawing/2014/main" id="{00000000-0008-0000-0200-00003D02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574" name="Text Box 12">
          <a:extLst>
            <a:ext uri="{FF2B5EF4-FFF2-40B4-BE49-F238E27FC236}">
              <a16:creationId xmlns="" xmlns:a16="http://schemas.microsoft.com/office/drawing/2014/main" id="{00000000-0008-0000-0200-00003E02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575" name="Text Box 10">
          <a:extLst>
            <a:ext uri="{FF2B5EF4-FFF2-40B4-BE49-F238E27FC236}">
              <a16:creationId xmlns="" xmlns:a16="http://schemas.microsoft.com/office/drawing/2014/main" id="{00000000-0008-0000-0200-00003F02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576" name="Text Box 11">
          <a:extLst>
            <a:ext uri="{FF2B5EF4-FFF2-40B4-BE49-F238E27FC236}">
              <a16:creationId xmlns="" xmlns:a16="http://schemas.microsoft.com/office/drawing/2014/main" id="{00000000-0008-0000-0200-00004002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577" name="Text Box 12">
          <a:extLst>
            <a:ext uri="{FF2B5EF4-FFF2-40B4-BE49-F238E27FC236}">
              <a16:creationId xmlns="" xmlns:a16="http://schemas.microsoft.com/office/drawing/2014/main" id="{00000000-0008-0000-0200-00004102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578" name="Text Box 10">
          <a:extLst>
            <a:ext uri="{FF2B5EF4-FFF2-40B4-BE49-F238E27FC236}">
              <a16:creationId xmlns="" xmlns:a16="http://schemas.microsoft.com/office/drawing/2014/main" id="{00000000-0008-0000-0200-00004202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579" name="Text Box 11">
          <a:extLst>
            <a:ext uri="{FF2B5EF4-FFF2-40B4-BE49-F238E27FC236}">
              <a16:creationId xmlns="" xmlns:a16="http://schemas.microsoft.com/office/drawing/2014/main" id="{00000000-0008-0000-0200-00004302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580" name="Text Box 12">
          <a:extLst>
            <a:ext uri="{FF2B5EF4-FFF2-40B4-BE49-F238E27FC236}">
              <a16:creationId xmlns="" xmlns:a16="http://schemas.microsoft.com/office/drawing/2014/main" id="{00000000-0008-0000-0200-00004402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581" name="Text Box 10">
          <a:extLst>
            <a:ext uri="{FF2B5EF4-FFF2-40B4-BE49-F238E27FC236}">
              <a16:creationId xmlns="" xmlns:a16="http://schemas.microsoft.com/office/drawing/2014/main" id="{00000000-0008-0000-0200-00004502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582" name="Text Box 11">
          <a:extLst>
            <a:ext uri="{FF2B5EF4-FFF2-40B4-BE49-F238E27FC236}">
              <a16:creationId xmlns="" xmlns:a16="http://schemas.microsoft.com/office/drawing/2014/main" id="{00000000-0008-0000-0200-00004602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583" name="Text Box 12">
          <a:extLst>
            <a:ext uri="{FF2B5EF4-FFF2-40B4-BE49-F238E27FC236}">
              <a16:creationId xmlns="" xmlns:a16="http://schemas.microsoft.com/office/drawing/2014/main" id="{00000000-0008-0000-0200-00004702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584" name="Text Box 10">
          <a:extLst>
            <a:ext uri="{FF2B5EF4-FFF2-40B4-BE49-F238E27FC236}">
              <a16:creationId xmlns="" xmlns:a16="http://schemas.microsoft.com/office/drawing/2014/main" id="{00000000-0008-0000-0200-00004802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585" name="Text Box 11">
          <a:extLst>
            <a:ext uri="{FF2B5EF4-FFF2-40B4-BE49-F238E27FC236}">
              <a16:creationId xmlns="" xmlns:a16="http://schemas.microsoft.com/office/drawing/2014/main" id="{00000000-0008-0000-0200-00004902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586" name="Text Box 12">
          <a:extLst>
            <a:ext uri="{FF2B5EF4-FFF2-40B4-BE49-F238E27FC236}">
              <a16:creationId xmlns="" xmlns:a16="http://schemas.microsoft.com/office/drawing/2014/main" id="{00000000-0008-0000-0200-00004A02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587" name="Text Box 10">
          <a:extLst>
            <a:ext uri="{FF2B5EF4-FFF2-40B4-BE49-F238E27FC236}">
              <a16:creationId xmlns="" xmlns:a16="http://schemas.microsoft.com/office/drawing/2014/main" id="{00000000-0008-0000-0200-00004B02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588" name="Text Box 11">
          <a:extLst>
            <a:ext uri="{FF2B5EF4-FFF2-40B4-BE49-F238E27FC236}">
              <a16:creationId xmlns="" xmlns:a16="http://schemas.microsoft.com/office/drawing/2014/main" id="{00000000-0008-0000-0200-00004C02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589" name="Text Box 12">
          <a:extLst>
            <a:ext uri="{FF2B5EF4-FFF2-40B4-BE49-F238E27FC236}">
              <a16:creationId xmlns="" xmlns:a16="http://schemas.microsoft.com/office/drawing/2014/main" id="{00000000-0008-0000-0200-00004D02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590" name="Text Box 10">
          <a:extLst>
            <a:ext uri="{FF2B5EF4-FFF2-40B4-BE49-F238E27FC236}">
              <a16:creationId xmlns="" xmlns:a16="http://schemas.microsoft.com/office/drawing/2014/main" id="{00000000-0008-0000-0200-00004E02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591" name="Text Box 11">
          <a:extLst>
            <a:ext uri="{FF2B5EF4-FFF2-40B4-BE49-F238E27FC236}">
              <a16:creationId xmlns="" xmlns:a16="http://schemas.microsoft.com/office/drawing/2014/main" id="{00000000-0008-0000-0200-00004F02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592" name="Text Box 12">
          <a:extLst>
            <a:ext uri="{FF2B5EF4-FFF2-40B4-BE49-F238E27FC236}">
              <a16:creationId xmlns="" xmlns:a16="http://schemas.microsoft.com/office/drawing/2014/main" id="{00000000-0008-0000-0200-00005002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593" name="Text Box 10">
          <a:extLst>
            <a:ext uri="{FF2B5EF4-FFF2-40B4-BE49-F238E27FC236}">
              <a16:creationId xmlns="" xmlns:a16="http://schemas.microsoft.com/office/drawing/2014/main" id="{00000000-0008-0000-0200-00005102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594" name="Text Box 11">
          <a:extLst>
            <a:ext uri="{FF2B5EF4-FFF2-40B4-BE49-F238E27FC236}">
              <a16:creationId xmlns="" xmlns:a16="http://schemas.microsoft.com/office/drawing/2014/main" id="{00000000-0008-0000-0200-00005202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595" name="Text Box 12">
          <a:extLst>
            <a:ext uri="{FF2B5EF4-FFF2-40B4-BE49-F238E27FC236}">
              <a16:creationId xmlns="" xmlns:a16="http://schemas.microsoft.com/office/drawing/2014/main" id="{00000000-0008-0000-0200-00005302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596" name="Text Box 10">
          <a:extLst>
            <a:ext uri="{FF2B5EF4-FFF2-40B4-BE49-F238E27FC236}">
              <a16:creationId xmlns="" xmlns:a16="http://schemas.microsoft.com/office/drawing/2014/main" id="{00000000-0008-0000-0200-00005402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597" name="Text Box 11">
          <a:extLst>
            <a:ext uri="{FF2B5EF4-FFF2-40B4-BE49-F238E27FC236}">
              <a16:creationId xmlns="" xmlns:a16="http://schemas.microsoft.com/office/drawing/2014/main" id="{00000000-0008-0000-0200-00005502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598" name="Text Box 12">
          <a:extLst>
            <a:ext uri="{FF2B5EF4-FFF2-40B4-BE49-F238E27FC236}">
              <a16:creationId xmlns="" xmlns:a16="http://schemas.microsoft.com/office/drawing/2014/main" id="{00000000-0008-0000-0200-00005602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599" name="Text Box 10">
          <a:extLst>
            <a:ext uri="{FF2B5EF4-FFF2-40B4-BE49-F238E27FC236}">
              <a16:creationId xmlns="" xmlns:a16="http://schemas.microsoft.com/office/drawing/2014/main" id="{00000000-0008-0000-0200-00005702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600" name="Text Box 11">
          <a:extLst>
            <a:ext uri="{FF2B5EF4-FFF2-40B4-BE49-F238E27FC236}">
              <a16:creationId xmlns="" xmlns:a16="http://schemas.microsoft.com/office/drawing/2014/main" id="{00000000-0008-0000-0200-00005802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601" name="Text Box 12">
          <a:extLst>
            <a:ext uri="{FF2B5EF4-FFF2-40B4-BE49-F238E27FC236}">
              <a16:creationId xmlns="" xmlns:a16="http://schemas.microsoft.com/office/drawing/2014/main" id="{00000000-0008-0000-0200-00005902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602" name="Text Box 10">
          <a:extLst>
            <a:ext uri="{FF2B5EF4-FFF2-40B4-BE49-F238E27FC236}">
              <a16:creationId xmlns="" xmlns:a16="http://schemas.microsoft.com/office/drawing/2014/main" id="{00000000-0008-0000-0200-00005A02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603" name="Text Box 11">
          <a:extLst>
            <a:ext uri="{FF2B5EF4-FFF2-40B4-BE49-F238E27FC236}">
              <a16:creationId xmlns="" xmlns:a16="http://schemas.microsoft.com/office/drawing/2014/main" id="{00000000-0008-0000-0200-00005B02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604" name="Text Box 12">
          <a:extLst>
            <a:ext uri="{FF2B5EF4-FFF2-40B4-BE49-F238E27FC236}">
              <a16:creationId xmlns="" xmlns:a16="http://schemas.microsoft.com/office/drawing/2014/main" id="{00000000-0008-0000-0200-00005C02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605" name="Text Box 10">
          <a:extLst>
            <a:ext uri="{FF2B5EF4-FFF2-40B4-BE49-F238E27FC236}">
              <a16:creationId xmlns="" xmlns:a16="http://schemas.microsoft.com/office/drawing/2014/main" id="{00000000-0008-0000-0200-00005D02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606" name="Text Box 11">
          <a:extLst>
            <a:ext uri="{FF2B5EF4-FFF2-40B4-BE49-F238E27FC236}">
              <a16:creationId xmlns="" xmlns:a16="http://schemas.microsoft.com/office/drawing/2014/main" id="{00000000-0008-0000-0200-00005E02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607" name="Text Box 12">
          <a:extLst>
            <a:ext uri="{FF2B5EF4-FFF2-40B4-BE49-F238E27FC236}">
              <a16:creationId xmlns="" xmlns:a16="http://schemas.microsoft.com/office/drawing/2014/main" id="{00000000-0008-0000-0200-00005F02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608" name="Text Box 10">
          <a:extLst>
            <a:ext uri="{FF2B5EF4-FFF2-40B4-BE49-F238E27FC236}">
              <a16:creationId xmlns="" xmlns:a16="http://schemas.microsoft.com/office/drawing/2014/main" id="{00000000-0008-0000-0200-00006002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609" name="Text Box 11">
          <a:extLst>
            <a:ext uri="{FF2B5EF4-FFF2-40B4-BE49-F238E27FC236}">
              <a16:creationId xmlns="" xmlns:a16="http://schemas.microsoft.com/office/drawing/2014/main" id="{00000000-0008-0000-0200-00006102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610" name="Text Box 12">
          <a:extLst>
            <a:ext uri="{FF2B5EF4-FFF2-40B4-BE49-F238E27FC236}">
              <a16:creationId xmlns="" xmlns:a16="http://schemas.microsoft.com/office/drawing/2014/main" id="{00000000-0008-0000-0200-00006202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611" name="Text Box 10">
          <a:extLst>
            <a:ext uri="{FF2B5EF4-FFF2-40B4-BE49-F238E27FC236}">
              <a16:creationId xmlns="" xmlns:a16="http://schemas.microsoft.com/office/drawing/2014/main" id="{00000000-0008-0000-0200-00006302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612" name="Text Box 11">
          <a:extLst>
            <a:ext uri="{FF2B5EF4-FFF2-40B4-BE49-F238E27FC236}">
              <a16:creationId xmlns="" xmlns:a16="http://schemas.microsoft.com/office/drawing/2014/main" id="{00000000-0008-0000-0200-00006402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613" name="Text Box 12">
          <a:extLst>
            <a:ext uri="{FF2B5EF4-FFF2-40B4-BE49-F238E27FC236}">
              <a16:creationId xmlns="" xmlns:a16="http://schemas.microsoft.com/office/drawing/2014/main" id="{00000000-0008-0000-0200-00006502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614" name="Text Box 10">
          <a:extLst>
            <a:ext uri="{FF2B5EF4-FFF2-40B4-BE49-F238E27FC236}">
              <a16:creationId xmlns="" xmlns:a16="http://schemas.microsoft.com/office/drawing/2014/main" id="{00000000-0008-0000-0200-00006602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615" name="Text Box 11">
          <a:extLst>
            <a:ext uri="{FF2B5EF4-FFF2-40B4-BE49-F238E27FC236}">
              <a16:creationId xmlns="" xmlns:a16="http://schemas.microsoft.com/office/drawing/2014/main" id="{00000000-0008-0000-0200-00006702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616" name="Text Box 12">
          <a:extLst>
            <a:ext uri="{FF2B5EF4-FFF2-40B4-BE49-F238E27FC236}">
              <a16:creationId xmlns="" xmlns:a16="http://schemas.microsoft.com/office/drawing/2014/main" id="{00000000-0008-0000-0200-00006802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617" name="Text Box 10">
          <a:extLst>
            <a:ext uri="{FF2B5EF4-FFF2-40B4-BE49-F238E27FC236}">
              <a16:creationId xmlns="" xmlns:a16="http://schemas.microsoft.com/office/drawing/2014/main" id="{00000000-0008-0000-0200-00006902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618" name="Text Box 11">
          <a:extLst>
            <a:ext uri="{FF2B5EF4-FFF2-40B4-BE49-F238E27FC236}">
              <a16:creationId xmlns="" xmlns:a16="http://schemas.microsoft.com/office/drawing/2014/main" id="{00000000-0008-0000-0200-00006A02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619" name="Text Box 12">
          <a:extLst>
            <a:ext uri="{FF2B5EF4-FFF2-40B4-BE49-F238E27FC236}">
              <a16:creationId xmlns="" xmlns:a16="http://schemas.microsoft.com/office/drawing/2014/main" id="{00000000-0008-0000-0200-00006B02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620" name="Text Box 10">
          <a:extLst>
            <a:ext uri="{FF2B5EF4-FFF2-40B4-BE49-F238E27FC236}">
              <a16:creationId xmlns="" xmlns:a16="http://schemas.microsoft.com/office/drawing/2014/main" id="{00000000-0008-0000-0200-00006C02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621" name="Text Box 11">
          <a:extLst>
            <a:ext uri="{FF2B5EF4-FFF2-40B4-BE49-F238E27FC236}">
              <a16:creationId xmlns="" xmlns:a16="http://schemas.microsoft.com/office/drawing/2014/main" id="{00000000-0008-0000-0200-00006D02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622" name="Text Box 12">
          <a:extLst>
            <a:ext uri="{FF2B5EF4-FFF2-40B4-BE49-F238E27FC236}">
              <a16:creationId xmlns="" xmlns:a16="http://schemas.microsoft.com/office/drawing/2014/main" id="{00000000-0008-0000-0200-00006E02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623" name="Text Box 10">
          <a:extLst>
            <a:ext uri="{FF2B5EF4-FFF2-40B4-BE49-F238E27FC236}">
              <a16:creationId xmlns="" xmlns:a16="http://schemas.microsoft.com/office/drawing/2014/main" id="{00000000-0008-0000-0200-00006F02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624" name="Text Box 11">
          <a:extLst>
            <a:ext uri="{FF2B5EF4-FFF2-40B4-BE49-F238E27FC236}">
              <a16:creationId xmlns="" xmlns:a16="http://schemas.microsoft.com/office/drawing/2014/main" id="{00000000-0008-0000-0200-00007002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31</xdr:row>
      <xdr:rowOff>0</xdr:rowOff>
    </xdr:from>
    <xdr:to>
      <xdr:col>2</xdr:col>
      <xdr:colOff>104775</xdr:colOff>
      <xdr:row>32</xdr:row>
      <xdr:rowOff>457199</xdr:rowOff>
    </xdr:to>
    <xdr:sp macro="" textlink="">
      <xdr:nvSpPr>
        <xdr:cNvPr id="625" name="Text Box 12">
          <a:extLst>
            <a:ext uri="{FF2B5EF4-FFF2-40B4-BE49-F238E27FC236}">
              <a16:creationId xmlns="" xmlns:a16="http://schemas.microsoft.com/office/drawing/2014/main" id="{00000000-0008-0000-0200-000071020000}"/>
            </a:ext>
          </a:extLst>
        </xdr:cNvPr>
        <xdr:cNvSpPr txBox="1">
          <a:spLocks noChangeArrowheads="1"/>
        </xdr:cNvSpPr>
      </xdr:nvSpPr>
      <xdr:spPr bwMode="auto">
        <a:xfrm>
          <a:off x="3162300" y="42586275"/>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626" name="Text Box 10">
          <a:extLst>
            <a:ext uri="{FF2B5EF4-FFF2-40B4-BE49-F238E27FC236}">
              <a16:creationId xmlns="" xmlns:a16="http://schemas.microsoft.com/office/drawing/2014/main" id="{00000000-0008-0000-0200-000072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627" name="Text Box 11">
          <a:extLst>
            <a:ext uri="{FF2B5EF4-FFF2-40B4-BE49-F238E27FC236}">
              <a16:creationId xmlns="" xmlns:a16="http://schemas.microsoft.com/office/drawing/2014/main" id="{00000000-0008-0000-0200-000073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628" name="Text Box 12">
          <a:extLst>
            <a:ext uri="{FF2B5EF4-FFF2-40B4-BE49-F238E27FC236}">
              <a16:creationId xmlns="" xmlns:a16="http://schemas.microsoft.com/office/drawing/2014/main" id="{00000000-0008-0000-0200-000074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629" name="Text Box 10">
          <a:extLst>
            <a:ext uri="{FF2B5EF4-FFF2-40B4-BE49-F238E27FC236}">
              <a16:creationId xmlns="" xmlns:a16="http://schemas.microsoft.com/office/drawing/2014/main" id="{00000000-0008-0000-0200-000075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630" name="Text Box 11">
          <a:extLst>
            <a:ext uri="{FF2B5EF4-FFF2-40B4-BE49-F238E27FC236}">
              <a16:creationId xmlns="" xmlns:a16="http://schemas.microsoft.com/office/drawing/2014/main" id="{00000000-0008-0000-0200-000076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631" name="Text Box 12">
          <a:extLst>
            <a:ext uri="{FF2B5EF4-FFF2-40B4-BE49-F238E27FC236}">
              <a16:creationId xmlns="" xmlns:a16="http://schemas.microsoft.com/office/drawing/2014/main" id="{00000000-0008-0000-0200-000077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632" name="Text Box 10">
          <a:extLst>
            <a:ext uri="{FF2B5EF4-FFF2-40B4-BE49-F238E27FC236}">
              <a16:creationId xmlns="" xmlns:a16="http://schemas.microsoft.com/office/drawing/2014/main" id="{00000000-0008-0000-0200-000078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633" name="Text Box 11">
          <a:extLst>
            <a:ext uri="{FF2B5EF4-FFF2-40B4-BE49-F238E27FC236}">
              <a16:creationId xmlns="" xmlns:a16="http://schemas.microsoft.com/office/drawing/2014/main" id="{00000000-0008-0000-0200-000079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634" name="Text Box 12">
          <a:extLst>
            <a:ext uri="{FF2B5EF4-FFF2-40B4-BE49-F238E27FC236}">
              <a16:creationId xmlns="" xmlns:a16="http://schemas.microsoft.com/office/drawing/2014/main" id="{00000000-0008-0000-0200-00007A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635" name="Text Box 10">
          <a:extLst>
            <a:ext uri="{FF2B5EF4-FFF2-40B4-BE49-F238E27FC236}">
              <a16:creationId xmlns="" xmlns:a16="http://schemas.microsoft.com/office/drawing/2014/main" id="{00000000-0008-0000-0200-00007B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636" name="Text Box 11">
          <a:extLst>
            <a:ext uri="{FF2B5EF4-FFF2-40B4-BE49-F238E27FC236}">
              <a16:creationId xmlns="" xmlns:a16="http://schemas.microsoft.com/office/drawing/2014/main" id="{00000000-0008-0000-0200-00007C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637" name="Text Box 12">
          <a:extLst>
            <a:ext uri="{FF2B5EF4-FFF2-40B4-BE49-F238E27FC236}">
              <a16:creationId xmlns="" xmlns:a16="http://schemas.microsoft.com/office/drawing/2014/main" id="{00000000-0008-0000-0200-00007D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638" name="Text Box 10">
          <a:extLst>
            <a:ext uri="{FF2B5EF4-FFF2-40B4-BE49-F238E27FC236}">
              <a16:creationId xmlns="" xmlns:a16="http://schemas.microsoft.com/office/drawing/2014/main" id="{00000000-0008-0000-0200-00007E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639" name="Text Box 11">
          <a:extLst>
            <a:ext uri="{FF2B5EF4-FFF2-40B4-BE49-F238E27FC236}">
              <a16:creationId xmlns="" xmlns:a16="http://schemas.microsoft.com/office/drawing/2014/main" id="{00000000-0008-0000-0200-00007F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640" name="Text Box 12">
          <a:extLst>
            <a:ext uri="{FF2B5EF4-FFF2-40B4-BE49-F238E27FC236}">
              <a16:creationId xmlns="" xmlns:a16="http://schemas.microsoft.com/office/drawing/2014/main" id="{00000000-0008-0000-0200-000080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641" name="Text Box 10">
          <a:extLst>
            <a:ext uri="{FF2B5EF4-FFF2-40B4-BE49-F238E27FC236}">
              <a16:creationId xmlns="" xmlns:a16="http://schemas.microsoft.com/office/drawing/2014/main" id="{00000000-0008-0000-0200-000081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642" name="Text Box 11">
          <a:extLst>
            <a:ext uri="{FF2B5EF4-FFF2-40B4-BE49-F238E27FC236}">
              <a16:creationId xmlns="" xmlns:a16="http://schemas.microsoft.com/office/drawing/2014/main" id="{00000000-0008-0000-0200-000082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643" name="Text Box 12">
          <a:extLst>
            <a:ext uri="{FF2B5EF4-FFF2-40B4-BE49-F238E27FC236}">
              <a16:creationId xmlns="" xmlns:a16="http://schemas.microsoft.com/office/drawing/2014/main" id="{00000000-0008-0000-0200-000083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644" name="Text Box 10">
          <a:extLst>
            <a:ext uri="{FF2B5EF4-FFF2-40B4-BE49-F238E27FC236}">
              <a16:creationId xmlns="" xmlns:a16="http://schemas.microsoft.com/office/drawing/2014/main" id="{00000000-0008-0000-0200-000084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645" name="Text Box 11">
          <a:extLst>
            <a:ext uri="{FF2B5EF4-FFF2-40B4-BE49-F238E27FC236}">
              <a16:creationId xmlns="" xmlns:a16="http://schemas.microsoft.com/office/drawing/2014/main" id="{00000000-0008-0000-0200-000085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646" name="Text Box 12">
          <a:extLst>
            <a:ext uri="{FF2B5EF4-FFF2-40B4-BE49-F238E27FC236}">
              <a16:creationId xmlns="" xmlns:a16="http://schemas.microsoft.com/office/drawing/2014/main" id="{00000000-0008-0000-0200-000086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647" name="Text Box 10">
          <a:extLst>
            <a:ext uri="{FF2B5EF4-FFF2-40B4-BE49-F238E27FC236}">
              <a16:creationId xmlns="" xmlns:a16="http://schemas.microsoft.com/office/drawing/2014/main" id="{00000000-0008-0000-0200-000087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648" name="Text Box 11">
          <a:extLst>
            <a:ext uri="{FF2B5EF4-FFF2-40B4-BE49-F238E27FC236}">
              <a16:creationId xmlns="" xmlns:a16="http://schemas.microsoft.com/office/drawing/2014/main" id="{00000000-0008-0000-0200-000088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649" name="Text Box 12">
          <a:extLst>
            <a:ext uri="{FF2B5EF4-FFF2-40B4-BE49-F238E27FC236}">
              <a16:creationId xmlns="" xmlns:a16="http://schemas.microsoft.com/office/drawing/2014/main" id="{00000000-0008-0000-0200-000089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650" name="Text Box 10">
          <a:extLst>
            <a:ext uri="{FF2B5EF4-FFF2-40B4-BE49-F238E27FC236}">
              <a16:creationId xmlns="" xmlns:a16="http://schemas.microsoft.com/office/drawing/2014/main" id="{00000000-0008-0000-0200-00008A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651" name="Text Box 11">
          <a:extLst>
            <a:ext uri="{FF2B5EF4-FFF2-40B4-BE49-F238E27FC236}">
              <a16:creationId xmlns="" xmlns:a16="http://schemas.microsoft.com/office/drawing/2014/main" id="{00000000-0008-0000-0200-00008B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652" name="Text Box 12">
          <a:extLst>
            <a:ext uri="{FF2B5EF4-FFF2-40B4-BE49-F238E27FC236}">
              <a16:creationId xmlns="" xmlns:a16="http://schemas.microsoft.com/office/drawing/2014/main" id="{00000000-0008-0000-0200-00008C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653" name="Text Box 10">
          <a:extLst>
            <a:ext uri="{FF2B5EF4-FFF2-40B4-BE49-F238E27FC236}">
              <a16:creationId xmlns="" xmlns:a16="http://schemas.microsoft.com/office/drawing/2014/main" id="{00000000-0008-0000-0200-00008D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654" name="Text Box 11">
          <a:extLst>
            <a:ext uri="{FF2B5EF4-FFF2-40B4-BE49-F238E27FC236}">
              <a16:creationId xmlns="" xmlns:a16="http://schemas.microsoft.com/office/drawing/2014/main" id="{00000000-0008-0000-0200-00008E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655" name="Text Box 12">
          <a:extLst>
            <a:ext uri="{FF2B5EF4-FFF2-40B4-BE49-F238E27FC236}">
              <a16:creationId xmlns="" xmlns:a16="http://schemas.microsoft.com/office/drawing/2014/main" id="{00000000-0008-0000-0200-00008F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656" name="Text Box 10">
          <a:extLst>
            <a:ext uri="{FF2B5EF4-FFF2-40B4-BE49-F238E27FC236}">
              <a16:creationId xmlns="" xmlns:a16="http://schemas.microsoft.com/office/drawing/2014/main" id="{00000000-0008-0000-0200-000090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657" name="Text Box 11">
          <a:extLst>
            <a:ext uri="{FF2B5EF4-FFF2-40B4-BE49-F238E27FC236}">
              <a16:creationId xmlns="" xmlns:a16="http://schemas.microsoft.com/office/drawing/2014/main" id="{00000000-0008-0000-0200-000091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658" name="Text Box 12">
          <a:extLst>
            <a:ext uri="{FF2B5EF4-FFF2-40B4-BE49-F238E27FC236}">
              <a16:creationId xmlns="" xmlns:a16="http://schemas.microsoft.com/office/drawing/2014/main" id="{00000000-0008-0000-0200-000092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659" name="Text Box 10">
          <a:extLst>
            <a:ext uri="{FF2B5EF4-FFF2-40B4-BE49-F238E27FC236}">
              <a16:creationId xmlns="" xmlns:a16="http://schemas.microsoft.com/office/drawing/2014/main" id="{00000000-0008-0000-0200-000093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660" name="Text Box 11">
          <a:extLst>
            <a:ext uri="{FF2B5EF4-FFF2-40B4-BE49-F238E27FC236}">
              <a16:creationId xmlns="" xmlns:a16="http://schemas.microsoft.com/office/drawing/2014/main" id="{00000000-0008-0000-0200-000094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661" name="Text Box 12">
          <a:extLst>
            <a:ext uri="{FF2B5EF4-FFF2-40B4-BE49-F238E27FC236}">
              <a16:creationId xmlns="" xmlns:a16="http://schemas.microsoft.com/office/drawing/2014/main" id="{00000000-0008-0000-0200-000095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662" name="Text Box 10">
          <a:extLst>
            <a:ext uri="{FF2B5EF4-FFF2-40B4-BE49-F238E27FC236}">
              <a16:creationId xmlns="" xmlns:a16="http://schemas.microsoft.com/office/drawing/2014/main" id="{00000000-0008-0000-0200-000096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663" name="Text Box 11">
          <a:extLst>
            <a:ext uri="{FF2B5EF4-FFF2-40B4-BE49-F238E27FC236}">
              <a16:creationId xmlns="" xmlns:a16="http://schemas.microsoft.com/office/drawing/2014/main" id="{00000000-0008-0000-0200-000097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664" name="Text Box 12">
          <a:extLst>
            <a:ext uri="{FF2B5EF4-FFF2-40B4-BE49-F238E27FC236}">
              <a16:creationId xmlns="" xmlns:a16="http://schemas.microsoft.com/office/drawing/2014/main" id="{00000000-0008-0000-0200-000098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665" name="Text Box 10">
          <a:extLst>
            <a:ext uri="{FF2B5EF4-FFF2-40B4-BE49-F238E27FC236}">
              <a16:creationId xmlns="" xmlns:a16="http://schemas.microsoft.com/office/drawing/2014/main" id="{00000000-0008-0000-0200-000099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666" name="Text Box 11">
          <a:extLst>
            <a:ext uri="{FF2B5EF4-FFF2-40B4-BE49-F238E27FC236}">
              <a16:creationId xmlns="" xmlns:a16="http://schemas.microsoft.com/office/drawing/2014/main" id="{00000000-0008-0000-0200-00009A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667" name="Text Box 12">
          <a:extLst>
            <a:ext uri="{FF2B5EF4-FFF2-40B4-BE49-F238E27FC236}">
              <a16:creationId xmlns="" xmlns:a16="http://schemas.microsoft.com/office/drawing/2014/main" id="{00000000-0008-0000-0200-00009B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668" name="Text Box 10">
          <a:extLst>
            <a:ext uri="{FF2B5EF4-FFF2-40B4-BE49-F238E27FC236}">
              <a16:creationId xmlns="" xmlns:a16="http://schemas.microsoft.com/office/drawing/2014/main" id="{00000000-0008-0000-0200-00009C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669" name="Text Box 11">
          <a:extLst>
            <a:ext uri="{FF2B5EF4-FFF2-40B4-BE49-F238E27FC236}">
              <a16:creationId xmlns="" xmlns:a16="http://schemas.microsoft.com/office/drawing/2014/main" id="{00000000-0008-0000-0200-00009D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670" name="Text Box 12">
          <a:extLst>
            <a:ext uri="{FF2B5EF4-FFF2-40B4-BE49-F238E27FC236}">
              <a16:creationId xmlns="" xmlns:a16="http://schemas.microsoft.com/office/drawing/2014/main" id="{00000000-0008-0000-0200-00009E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671" name="Text Box 10">
          <a:extLst>
            <a:ext uri="{FF2B5EF4-FFF2-40B4-BE49-F238E27FC236}">
              <a16:creationId xmlns="" xmlns:a16="http://schemas.microsoft.com/office/drawing/2014/main" id="{00000000-0008-0000-0200-00009F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672" name="Text Box 11">
          <a:extLst>
            <a:ext uri="{FF2B5EF4-FFF2-40B4-BE49-F238E27FC236}">
              <a16:creationId xmlns="" xmlns:a16="http://schemas.microsoft.com/office/drawing/2014/main" id="{00000000-0008-0000-0200-0000A0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673" name="Text Box 12">
          <a:extLst>
            <a:ext uri="{FF2B5EF4-FFF2-40B4-BE49-F238E27FC236}">
              <a16:creationId xmlns="" xmlns:a16="http://schemas.microsoft.com/office/drawing/2014/main" id="{00000000-0008-0000-0200-0000A1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674" name="Text Box 10">
          <a:extLst>
            <a:ext uri="{FF2B5EF4-FFF2-40B4-BE49-F238E27FC236}">
              <a16:creationId xmlns="" xmlns:a16="http://schemas.microsoft.com/office/drawing/2014/main" id="{00000000-0008-0000-0200-0000A2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675" name="Text Box 11">
          <a:extLst>
            <a:ext uri="{FF2B5EF4-FFF2-40B4-BE49-F238E27FC236}">
              <a16:creationId xmlns="" xmlns:a16="http://schemas.microsoft.com/office/drawing/2014/main" id="{00000000-0008-0000-0200-0000A3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676" name="Text Box 12">
          <a:extLst>
            <a:ext uri="{FF2B5EF4-FFF2-40B4-BE49-F238E27FC236}">
              <a16:creationId xmlns="" xmlns:a16="http://schemas.microsoft.com/office/drawing/2014/main" id="{00000000-0008-0000-0200-0000A4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677" name="Text Box 10">
          <a:extLst>
            <a:ext uri="{FF2B5EF4-FFF2-40B4-BE49-F238E27FC236}">
              <a16:creationId xmlns="" xmlns:a16="http://schemas.microsoft.com/office/drawing/2014/main" id="{00000000-0008-0000-0200-0000A5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678" name="Text Box 11">
          <a:extLst>
            <a:ext uri="{FF2B5EF4-FFF2-40B4-BE49-F238E27FC236}">
              <a16:creationId xmlns="" xmlns:a16="http://schemas.microsoft.com/office/drawing/2014/main" id="{00000000-0008-0000-0200-0000A6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679" name="Text Box 12">
          <a:extLst>
            <a:ext uri="{FF2B5EF4-FFF2-40B4-BE49-F238E27FC236}">
              <a16:creationId xmlns="" xmlns:a16="http://schemas.microsoft.com/office/drawing/2014/main" id="{00000000-0008-0000-0200-0000A7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680" name="Text Box 10">
          <a:extLst>
            <a:ext uri="{FF2B5EF4-FFF2-40B4-BE49-F238E27FC236}">
              <a16:creationId xmlns="" xmlns:a16="http://schemas.microsoft.com/office/drawing/2014/main" id="{00000000-0008-0000-0200-0000A8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681" name="Text Box 11">
          <a:extLst>
            <a:ext uri="{FF2B5EF4-FFF2-40B4-BE49-F238E27FC236}">
              <a16:creationId xmlns="" xmlns:a16="http://schemas.microsoft.com/office/drawing/2014/main" id="{00000000-0008-0000-0200-0000A9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682" name="Text Box 12">
          <a:extLst>
            <a:ext uri="{FF2B5EF4-FFF2-40B4-BE49-F238E27FC236}">
              <a16:creationId xmlns="" xmlns:a16="http://schemas.microsoft.com/office/drawing/2014/main" id="{00000000-0008-0000-0200-0000AA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683" name="Text Box 10">
          <a:extLst>
            <a:ext uri="{FF2B5EF4-FFF2-40B4-BE49-F238E27FC236}">
              <a16:creationId xmlns="" xmlns:a16="http://schemas.microsoft.com/office/drawing/2014/main" id="{00000000-0008-0000-0200-0000AB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684" name="Text Box 11">
          <a:extLst>
            <a:ext uri="{FF2B5EF4-FFF2-40B4-BE49-F238E27FC236}">
              <a16:creationId xmlns="" xmlns:a16="http://schemas.microsoft.com/office/drawing/2014/main" id="{00000000-0008-0000-0200-0000AC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685" name="Text Box 12">
          <a:extLst>
            <a:ext uri="{FF2B5EF4-FFF2-40B4-BE49-F238E27FC236}">
              <a16:creationId xmlns="" xmlns:a16="http://schemas.microsoft.com/office/drawing/2014/main" id="{00000000-0008-0000-0200-0000AD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686" name="Text Box 10">
          <a:extLst>
            <a:ext uri="{FF2B5EF4-FFF2-40B4-BE49-F238E27FC236}">
              <a16:creationId xmlns="" xmlns:a16="http://schemas.microsoft.com/office/drawing/2014/main" id="{00000000-0008-0000-0200-0000AE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687" name="Text Box 11">
          <a:extLst>
            <a:ext uri="{FF2B5EF4-FFF2-40B4-BE49-F238E27FC236}">
              <a16:creationId xmlns="" xmlns:a16="http://schemas.microsoft.com/office/drawing/2014/main" id="{00000000-0008-0000-0200-0000AF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688" name="Text Box 12">
          <a:extLst>
            <a:ext uri="{FF2B5EF4-FFF2-40B4-BE49-F238E27FC236}">
              <a16:creationId xmlns="" xmlns:a16="http://schemas.microsoft.com/office/drawing/2014/main" id="{00000000-0008-0000-0200-0000B0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689" name="Text Box 10">
          <a:extLst>
            <a:ext uri="{FF2B5EF4-FFF2-40B4-BE49-F238E27FC236}">
              <a16:creationId xmlns="" xmlns:a16="http://schemas.microsoft.com/office/drawing/2014/main" id="{00000000-0008-0000-0200-0000B1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690" name="Text Box 11">
          <a:extLst>
            <a:ext uri="{FF2B5EF4-FFF2-40B4-BE49-F238E27FC236}">
              <a16:creationId xmlns="" xmlns:a16="http://schemas.microsoft.com/office/drawing/2014/main" id="{00000000-0008-0000-0200-0000B2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691" name="Text Box 12">
          <a:extLst>
            <a:ext uri="{FF2B5EF4-FFF2-40B4-BE49-F238E27FC236}">
              <a16:creationId xmlns="" xmlns:a16="http://schemas.microsoft.com/office/drawing/2014/main" id="{00000000-0008-0000-0200-0000B3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692" name="Text Box 10">
          <a:extLst>
            <a:ext uri="{FF2B5EF4-FFF2-40B4-BE49-F238E27FC236}">
              <a16:creationId xmlns="" xmlns:a16="http://schemas.microsoft.com/office/drawing/2014/main" id="{00000000-0008-0000-0200-0000B4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693" name="Text Box 11">
          <a:extLst>
            <a:ext uri="{FF2B5EF4-FFF2-40B4-BE49-F238E27FC236}">
              <a16:creationId xmlns="" xmlns:a16="http://schemas.microsoft.com/office/drawing/2014/main" id="{00000000-0008-0000-0200-0000B5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694" name="Text Box 12">
          <a:extLst>
            <a:ext uri="{FF2B5EF4-FFF2-40B4-BE49-F238E27FC236}">
              <a16:creationId xmlns="" xmlns:a16="http://schemas.microsoft.com/office/drawing/2014/main" id="{00000000-0008-0000-0200-0000B6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695" name="Text Box 10">
          <a:extLst>
            <a:ext uri="{FF2B5EF4-FFF2-40B4-BE49-F238E27FC236}">
              <a16:creationId xmlns="" xmlns:a16="http://schemas.microsoft.com/office/drawing/2014/main" id="{00000000-0008-0000-0200-0000B7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696" name="Text Box 11">
          <a:extLst>
            <a:ext uri="{FF2B5EF4-FFF2-40B4-BE49-F238E27FC236}">
              <a16:creationId xmlns="" xmlns:a16="http://schemas.microsoft.com/office/drawing/2014/main" id="{00000000-0008-0000-0200-0000B8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697" name="Text Box 12">
          <a:extLst>
            <a:ext uri="{FF2B5EF4-FFF2-40B4-BE49-F238E27FC236}">
              <a16:creationId xmlns="" xmlns:a16="http://schemas.microsoft.com/office/drawing/2014/main" id="{00000000-0008-0000-0200-0000B9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698" name="Text Box 10">
          <a:extLst>
            <a:ext uri="{FF2B5EF4-FFF2-40B4-BE49-F238E27FC236}">
              <a16:creationId xmlns="" xmlns:a16="http://schemas.microsoft.com/office/drawing/2014/main" id="{00000000-0008-0000-0200-0000BA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699" name="Text Box 11">
          <a:extLst>
            <a:ext uri="{FF2B5EF4-FFF2-40B4-BE49-F238E27FC236}">
              <a16:creationId xmlns="" xmlns:a16="http://schemas.microsoft.com/office/drawing/2014/main" id="{00000000-0008-0000-0200-0000BB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700" name="Text Box 12">
          <a:extLst>
            <a:ext uri="{FF2B5EF4-FFF2-40B4-BE49-F238E27FC236}">
              <a16:creationId xmlns="" xmlns:a16="http://schemas.microsoft.com/office/drawing/2014/main" id="{00000000-0008-0000-0200-0000BC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701" name="Text Box 10">
          <a:extLst>
            <a:ext uri="{FF2B5EF4-FFF2-40B4-BE49-F238E27FC236}">
              <a16:creationId xmlns="" xmlns:a16="http://schemas.microsoft.com/office/drawing/2014/main" id="{00000000-0008-0000-0200-0000BD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702" name="Text Box 11">
          <a:extLst>
            <a:ext uri="{FF2B5EF4-FFF2-40B4-BE49-F238E27FC236}">
              <a16:creationId xmlns="" xmlns:a16="http://schemas.microsoft.com/office/drawing/2014/main" id="{00000000-0008-0000-0200-0000BE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703" name="Text Box 12">
          <a:extLst>
            <a:ext uri="{FF2B5EF4-FFF2-40B4-BE49-F238E27FC236}">
              <a16:creationId xmlns="" xmlns:a16="http://schemas.microsoft.com/office/drawing/2014/main" id="{00000000-0008-0000-0200-0000BF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704" name="Text Box 10">
          <a:extLst>
            <a:ext uri="{FF2B5EF4-FFF2-40B4-BE49-F238E27FC236}">
              <a16:creationId xmlns="" xmlns:a16="http://schemas.microsoft.com/office/drawing/2014/main" id="{00000000-0008-0000-0200-0000C0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705" name="Text Box 11">
          <a:extLst>
            <a:ext uri="{FF2B5EF4-FFF2-40B4-BE49-F238E27FC236}">
              <a16:creationId xmlns="" xmlns:a16="http://schemas.microsoft.com/office/drawing/2014/main" id="{00000000-0008-0000-0200-0000C1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706" name="Text Box 12">
          <a:extLst>
            <a:ext uri="{FF2B5EF4-FFF2-40B4-BE49-F238E27FC236}">
              <a16:creationId xmlns="" xmlns:a16="http://schemas.microsoft.com/office/drawing/2014/main" id="{00000000-0008-0000-0200-0000C2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707" name="Text Box 10">
          <a:extLst>
            <a:ext uri="{FF2B5EF4-FFF2-40B4-BE49-F238E27FC236}">
              <a16:creationId xmlns="" xmlns:a16="http://schemas.microsoft.com/office/drawing/2014/main" id="{00000000-0008-0000-0200-0000C3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708" name="Text Box 11">
          <a:extLst>
            <a:ext uri="{FF2B5EF4-FFF2-40B4-BE49-F238E27FC236}">
              <a16:creationId xmlns="" xmlns:a16="http://schemas.microsoft.com/office/drawing/2014/main" id="{00000000-0008-0000-0200-0000C4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709" name="Text Box 12">
          <a:extLst>
            <a:ext uri="{FF2B5EF4-FFF2-40B4-BE49-F238E27FC236}">
              <a16:creationId xmlns="" xmlns:a16="http://schemas.microsoft.com/office/drawing/2014/main" id="{00000000-0008-0000-0200-0000C5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710" name="Text Box 10">
          <a:extLst>
            <a:ext uri="{FF2B5EF4-FFF2-40B4-BE49-F238E27FC236}">
              <a16:creationId xmlns="" xmlns:a16="http://schemas.microsoft.com/office/drawing/2014/main" id="{00000000-0008-0000-0200-0000C6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711" name="Text Box 11">
          <a:extLst>
            <a:ext uri="{FF2B5EF4-FFF2-40B4-BE49-F238E27FC236}">
              <a16:creationId xmlns="" xmlns:a16="http://schemas.microsoft.com/office/drawing/2014/main" id="{00000000-0008-0000-0200-0000C7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712" name="Text Box 12">
          <a:extLst>
            <a:ext uri="{FF2B5EF4-FFF2-40B4-BE49-F238E27FC236}">
              <a16:creationId xmlns="" xmlns:a16="http://schemas.microsoft.com/office/drawing/2014/main" id="{00000000-0008-0000-0200-0000C8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713" name="Text Box 10">
          <a:extLst>
            <a:ext uri="{FF2B5EF4-FFF2-40B4-BE49-F238E27FC236}">
              <a16:creationId xmlns="" xmlns:a16="http://schemas.microsoft.com/office/drawing/2014/main" id="{00000000-0008-0000-0200-0000C9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714" name="Text Box 11">
          <a:extLst>
            <a:ext uri="{FF2B5EF4-FFF2-40B4-BE49-F238E27FC236}">
              <a16:creationId xmlns="" xmlns:a16="http://schemas.microsoft.com/office/drawing/2014/main" id="{00000000-0008-0000-0200-0000CA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715" name="Text Box 12">
          <a:extLst>
            <a:ext uri="{FF2B5EF4-FFF2-40B4-BE49-F238E27FC236}">
              <a16:creationId xmlns="" xmlns:a16="http://schemas.microsoft.com/office/drawing/2014/main" id="{00000000-0008-0000-0200-0000CB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716" name="Text Box 10">
          <a:extLst>
            <a:ext uri="{FF2B5EF4-FFF2-40B4-BE49-F238E27FC236}">
              <a16:creationId xmlns="" xmlns:a16="http://schemas.microsoft.com/office/drawing/2014/main" id="{00000000-0008-0000-0200-0000CC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717" name="Text Box 11">
          <a:extLst>
            <a:ext uri="{FF2B5EF4-FFF2-40B4-BE49-F238E27FC236}">
              <a16:creationId xmlns="" xmlns:a16="http://schemas.microsoft.com/office/drawing/2014/main" id="{00000000-0008-0000-0200-0000CD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718" name="Text Box 12">
          <a:extLst>
            <a:ext uri="{FF2B5EF4-FFF2-40B4-BE49-F238E27FC236}">
              <a16:creationId xmlns="" xmlns:a16="http://schemas.microsoft.com/office/drawing/2014/main" id="{00000000-0008-0000-0200-0000CE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719" name="Text Box 10">
          <a:extLst>
            <a:ext uri="{FF2B5EF4-FFF2-40B4-BE49-F238E27FC236}">
              <a16:creationId xmlns="" xmlns:a16="http://schemas.microsoft.com/office/drawing/2014/main" id="{00000000-0008-0000-0200-0000CF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720" name="Text Box 11">
          <a:extLst>
            <a:ext uri="{FF2B5EF4-FFF2-40B4-BE49-F238E27FC236}">
              <a16:creationId xmlns="" xmlns:a16="http://schemas.microsoft.com/office/drawing/2014/main" id="{00000000-0008-0000-0200-0000D0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721" name="Text Box 12">
          <a:extLst>
            <a:ext uri="{FF2B5EF4-FFF2-40B4-BE49-F238E27FC236}">
              <a16:creationId xmlns="" xmlns:a16="http://schemas.microsoft.com/office/drawing/2014/main" id="{00000000-0008-0000-0200-0000D1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722" name="Text Box 10">
          <a:extLst>
            <a:ext uri="{FF2B5EF4-FFF2-40B4-BE49-F238E27FC236}">
              <a16:creationId xmlns="" xmlns:a16="http://schemas.microsoft.com/office/drawing/2014/main" id="{00000000-0008-0000-0200-0000D2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723" name="Text Box 11">
          <a:extLst>
            <a:ext uri="{FF2B5EF4-FFF2-40B4-BE49-F238E27FC236}">
              <a16:creationId xmlns="" xmlns:a16="http://schemas.microsoft.com/office/drawing/2014/main" id="{00000000-0008-0000-0200-0000D3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724" name="Text Box 12">
          <a:extLst>
            <a:ext uri="{FF2B5EF4-FFF2-40B4-BE49-F238E27FC236}">
              <a16:creationId xmlns="" xmlns:a16="http://schemas.microsoft.com/office/drawing/2014/main" id="{00000000-0008-0000-0200-0000D4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725" name="Text Box 10">
          <a:extLst>
            <a:ext uri="{FF2B5EF4-FFF2-40B4-BE49-F238E27FC236}">
              <a16:creationId xmlns="" xmlns:a16="http://schemas.microsoft.com/office/drawing/2014/main" id="{00000000-0008-0000-0200-0000D5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726" name="Text Box 11">
          <a:extLst>
            <a:ext uri="{FF2B5EF4-FFF2-40B4-BE49-F238E27FC236}">
              <a16:creationId xmlns="" xmlns:a16="http://schemas.microsoft.com/office/drawing/2014/main" id="{00000000-0008-0000-0200-0000D6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727" name="Text Box 12">
          <a:extLst>
            <a:ext uri="{FF2B5EF4-FFF2-40B4-BE49-F238E27FC236}">
              <a16:creationId xmlns="" xmlns:a16="http://schemas.microsoft.com/office/drawing/2014/main" id="{00000000-0008-0000-0200-0000D7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728" name="Text Box 10">
          <a:extLst>
            <a:ext uri="{FF2B5EF4-FFF2-40B4-BE49-F238E27FC236}">
              <a16:creationId xmlns="" xmlns:a16="http://schemas.microsoft.com/office/drawing/2014/main" id="{00000000-0008-0000-0200-0000D8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729" name="Text Box 11">
          <a:extLst>
            <a:ext uri="{FF2B5EF4-FFF2-40B4-BE49-F238E27FC236}">
              <a16:creationId xmlns="" xmlns:a16="http://schemas.microsoft.com/office/drawing/2014/main" id="{00000000-0008-0000-0200-0000D9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730" name="Text Box 12">
          <a:extLst>
            <a:ext uri="{FF2B5EF4-FFF2-40B4-BE49-F238E27FC236}">
              <a16:creationId xmlns="" xmlns:a16="http://schemas.microsoft.com/office/drawing/2014/main" id="{00000000-0008-0000-0200-0000DA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731" name="Text Box 10">
          <a:extLst>
            <a:ext uri="{FF2B5EF4-FFF2-40B4-BE49-F238E27FC236}">
              <a16:creationId xmlns="" xmlns:a16="http://schemas.microsoft.com/office/drawing/2014/main" id="{00000000-0008-0000-0200-0000DB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732" name="Text Box 11">
          <a:extLst>
            <a:ext uri="{FF2B5EF4-FFF2-40B4-BE49-F238E27FC236}">
              <a16:creationId xmlns="" xmlns:a16="http://schemas.microsoft.com/office/drawing/2014/main" id="{00000000-0008-0000-0200-0000DC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733" name="Text Box 12">
          <a:extLst>
            <a:ext uri="{FF2B5EF4-FFF2-40B4-BE49-F238E27FC236}">
              <a16:creationId xmlns="" xmlns:a16="http://schemas.microsoft.com/office/drawing/2014/main" id="{00000000-0008-0000-0200-0000DD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734" name="Text Box 10">
          <a:extLst>
            <a:ext uri="{FF2B5EF4-FFF2-40B4-BE49-F238E27FC236}">
              <a16:creationId xmlns="" xmlns:a16="http://schemas.microsoft.com/office/drawing/2014/main" id="{00000000-0008-0000-0200-0000DE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735" name="Text Box 11">
          <a:extLst>
            <a:ext uri="{FF2B5EF4-FFF2-40B4-BE49-F238E27FC236}">
              <a16:creationId xmlns="" xmlns:a16="http://schemas.microsoft.com/office/drawing/2014/main" id="{00000000-0008-0000-0200-0000DF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736" name="Text Box 12">
          <a:extLst>
            <a:ext uri="{FF2B5EF4-FFF2-40B4-BE49-F238E27FC236}">
              <a16:creationId xmlns="" xmlns:a16="http://schemas.microsoft.com/office/drawing/2014/main" id="{00000000-0008-0000-0200-0000E0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737" name="Text Box 10">
          <a:extLst>
            <a:ext uri="{FF2B5EF4-FFF2-40B4-BE49-F238E27FC236}">
              <a16:creationId xmlns="" xmlns:a16="http://schemas.microsoft.com/office/drawing/2014/main" id="{00000000-0008-0000-0200-0000E1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738" name="Text Box 11">
          <a:extLst>
            <a:ext uri="{FF2B5EF4-FFF2-40B4-BE49-F238E27FC236}">
              <a16:creationId xmlns="" xmlns:a16="http://schemas.microsoft.com/office/drawing/2014/main" id="{00000000-0008-0000-0200-0000E2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739" name="Text Box 12">
          <a:extLst>
            <a:ext uri="{FF2B5EF4-FFF2-40B4-BE49-F238E27FC236}">
              <a16:creationId xmlns="" xmlns:a16="http://schemas.microsoft.com/office/drawing/2014/main" id="{00000000-0008-0000-0200-0000E3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740" name="Text Box 10">
          <a:extLst>
            <a:ext uri="{FF2B5EF4-FFF2-40B4-BE49-F238E27FC236}">
              <a16:creationId xmlns="" xmlns:a16="http://schemas.microsoft.com/office/drawing/2014/main" id="{00000000-0008-0000-0200-0000E4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741" name="Text Box 11">
          <a:extLst>
            <a:ext uri="{FF2B5EF4-FFF2-40B4-BE49-F238E27FC236}">
              <a16:creationId xmlns="" xmlns:a16="http://schemas.microsoft.com/office/drawing/2014/main" id="{00000000-0008-0000-0200-0000E5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742" name="Text Box 12">
          <a:extLst>
            <a:ext uri="{FF2B5EF4-FFF2-40B4-BE49-F238E27FC236}">
              <a16:creationId xmlns="" xmlns:a16="http://schemas.microsoft.com/office/drawing/2014/main" id="{00000000-0008-0000-0200-0000E6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743" name="Text Box 10">
          <a:extLst>
            <a:ext uri="{FF2B5EF4-FFF2-40B4-BE49-F238E27FC236}">
              <a16:creationId xmlns="" xmlns:a16="http://schemas.microsoft.com/office/drawing/2014/main" id="{00000000-0008-0000-0200-0000E7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744" name="Text Box 11">
          <a:extLst>
            <a:ext uri="{FF2B5EF4-FFF2-40B4-BE49-F238E27FC236}">
              <a16:creationId xmlns="" xmlns:a16="http://schemas.microsoft.com/office/drawing/2014/main" id="{00000000-0008-0000-0200-0000E8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745" name="Text Box 12">
          <a:extLst>
            <a:ext uri="{FF2B5EF4-FFF2-40B4-BE49-F238E27FC236}">
              <a16:creationId xmlns="" xmlns:a16="http://schemas.microsoft.com/office/drawing/2014/main" id="{00000000-0008-0000-0200-0000E9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746" name="Text Box 10">
          <a:extLst>
            <a:ext uri="{FF2B5EF4-FFF2-40B4-BE49-F238E27FC236}">
              <a16:creationId xmlns="" xmlns:a16="http://schemas.microsoft.com/office/drawing/2014/main" id="{00000000-0008-0000-0200-0000EA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747" name="Text Box 11">
          <a:extLst>
            <a:ext uri="{FF2B5EF4-FFF2-40B4-BE49-F238E27FC236}">
              <a16:creationId xmlns="" xmlns:a16="http://schemas.microsoft.com/office/drawing/2014/main" id="{00000000-0008-0000-0200-0000EB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748" name="Text Box 12">
          <a:extLst>
            <a:ext uri="{FF2B5EF4-FFF2-40B4-BE49-F238E27FC236}">
              <a16:creationId xmlns="" xmlns:a16="http://schemas.microsoft.com/office/drawing/2014/main" id="{00000000-0008-0000-0200-0000EC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749" name="Text Box 10">
          <a:extLst>
            <a:ext uri="{FF2B5EF4-FFF2-40B4-BE49-F238E27FC236}">
              <a16:creationId xmlns="" xmlns:a16="http://schemas.microsoft.com/office/drawing/2014/main" id="{00000000-0008-0000-0200-0000ED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750" name="Text Box 11">
          <a:extLst>
            <a:ext uri="{FF2B5EF4-FFF2-40B4-BE49-F238E27FC236}">
              <a16:creationId xmlns="" xmlns:a16="http://schemas.microsoft.com/office/drawing/2014/main" id="{00000000-0008-0000-0200-0000EE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751" name="Text Box 12">
          <a:extLst>
            <a:ext uri="{FF2B5EF4-FFF2-40B4-BE49-F238E27FC236}">
              <a16:creationId xmlns="" xmlns:a16="http://schemas.microsoft.com/office/drawing/2014/main" id="{00000000-0008-0000-0200-0000EF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752" name="Text Box 10">
          <a:extLst>
            <a:ext uri="{FF2B5EF4-FFF2-40B4-BE49-F238E27FC236}">
              <a16:creationId xmlns="" xmlns:a16="http://schemas.microsoft.com/office/drawing/2014/main" id="{00000000-0008-0000-0200-0000F0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753" name="Text Box 11">
          <a:extLst>
            <a:ext uri="{FF2B5EF4-FFF2-40B4-BE49-F238E27FC236}">
              <a16:creationId xmlns="" xmlns:a16="http://schemas.microsoft.com/office/drawing/2014/main" id="{00000000-0008-0000-0200-0000F1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754" name="Text Box 12">
          <a:extLst>
            <a:ext uri="{FF2B5EF4-FFF2-40B4-BE49-F238E27FC236}">
              <a16:creationId xmlns="" xmlns:a16="http://schemas.microsoft.com/office/drawing/2014/main" id="{00000000-0008-0000-0200-0000F2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755" name="Text Box 10">
          <a:extLst>
            <a:ext uri="{FF2B5EF4-FFF2-40B4-BE49-F238E27FC236}">
              <a16:creationId xmlns="" xmlns:a16="http://schemas.microsoft.com/office/drawing/2014/main" id="{00000000-0008-0000-0200-0000F3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756" name="Text Box 11">
          <a:extLst>
            <a:ext uri="{FF2B5EF4-FFF2-40B4-BE49-F238E27FC236}">
              <a16:creationId xmlns="" xmlns:a16="http://schemas.microsoft.com/office/drawing/2014/main" id="{00000000-0008-0000-0200-0000F4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757" name="Text Box 12">
          <a:extLst>
            <a:ext uri="{FF2B5EF4-FFF2-40B4-BE49-F238E27FC236}">
              <a16:creationId xmlns="" xmlns:a16="http://schemas.microsoft.com/office/drawing/2014/main" id="{00000000-0008-0000-0200-0000F5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758" name="Text Box 10">
          <a:extLst>
            <a:ext uri="{FF2B5EF4-FFF2-40B4-BE49-F238E27FC236}">
              <a16:creationId xmlns="" xmlns:a16="http://schemas.microsoft.com/office/drawing/2014/main" id="{00000000-0008-0000-0200-0000F6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759" name="Text Box 11">
          <a:extLst>
            <a:ext uri="{FF2B5EF4-FFF2-40B4-BE49-F238E27FC236}">
              <a16:creationId xmlns="" xmlns:a16="http://schemas.microsoft.com/office/drawing/2014/main" id="{00000000-0008-0000-0200-0000F7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760" name="Text Box 12">
          <a:extLst>
            <a:ext uri="{FF2B5EF4-FFF2-40B4-BE49-F238E27FC236}">
              <a16:creationId xmlns="" xmlns:a16="http://schemas.microsoft.com/office/drawing/2014/main" id="{00000000-0008-0000-0200-0000F8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761" name="Text Box 10">
          <a:extLst>
            <a:ext uri="{FF2B5EF4-FFF2-40B4-BE49-F238E27FC236}">
              <a16:creationId xmlns="" xmlns:a16="http://schemas.microsoft.com/office/drawing/2014/main" id="{00000000-0008-0000-0200-0000F9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762" name="Text Box 11">
          <a:extLst>
            <a:ext uri="{FF2B5EF4-FFF2-40B4-BE49-F238E27FC236}">
              <a16:creationId xmlns="" xmlns:a16="http://schemas.microsoft.com/office/drawing/2014/main" id="{00000000-0008-0000-0200-0000FA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763" name="Text Box 12">
          <a:extLst>
            <a:ext uri="{FF2B5EF4-FFF2-40B4-BE49-F238E27FC236}">
              <a16:creationId xmlns="" xmlns:a16="http://schemas.microsoft.com/office/drawing/2014/main" id="{00000000-0008-0000-0200-0000FB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764" name="Text Box 10">
          <a:extLst>
            <a:ext uri="{FF2B5EF4-FFF2-40B4-BE49-F238E27FC236}">
              <a16:creationId xmlns="" xmlns:a16="http://schemas.microsoft.com/office/drawing/2014/main" id="{00000000-0008-0000-0200-0000FC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765" name="Text Box 11">
          <a:extLst>
            <a:ext uri="{FF2B5EF4-FFF2-40B4-BE49-F238E27FC236}">
              <a16:creationId xmlns="" xmlns:a16="http://schemas.microsoft.com/office/drawing/2014/main" id="{00000000-0008-0000-0200-0000FD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766" name="Text Box 12">
          <a:extLst>
            <a:ext uri="{FF2B5EF4-FFF2-40B4-BE49-F238E27FC236}">
              <a16:creationId xmlns="" xmlns:a16="http://schemas.microsoft.com/office/drawing/2014/main" id="{00000000-0008-0000-0200-0000FE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767" name="Text Box 10">
          <a:extLst>
            <a:ext uri="{FF2B5EF4-FFF2-40B4-BE49-F238E27FC236}">
              <a16:creationId xmlns="" xmlns:a16="http://schemas.microsoft.com/office/drawing/2014/main" id="{00000000-0008-0000-0200-0000FF02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768" name="Text Box 11">
          <a:extLst>
            <a:ext uri="{FF2B5EF4-FFF2-40B4-BE49-F238E27FC236}">
              <a16:creationId xmlns="" xmlns:a16="http://schemas.microsoft.com/office/drawing/2014/main" id="{00000000-0008-0000-0200-00000003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769" name="Text Box 12">
          <a:extLst>
            <a:ext uri="{FF2B5EF4-FFF2-40B4-BE49-F238E27FC236}">
              <a16:creationId xmlns="" xmlns:a16="http://schemas.microsoft.com/office/drawing/2014/main" id="{00000000-0008-0000-0200-00000103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770" name="Text Box 10">
          <a:extLst>
            <a:ext uri="{FF2B5EF4-FFF2-40B4-BE49-F238E27FC236}">
              <a16:creationId xmlns="" xmlns:a16="http://schemas.microsoft.com/office/drawing/2014/main" id="{00000000-0008-0000-0200-00000203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771" name="Text Box 11">
          <a:extLst>
            <a:ext uri="{FF2B5EF4-FFF2-40B4-BE49-F238E27FC236}">
              <a16:creationId xmlns="" xmlns:a16="http://schemas.microsoft.com/office/drawing/2014/main" id="{00000000-0008-0000-0200-00000303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772" name="Text Box 12">
          <a:extLst>
            <a:ext uri="{FF2B5EF4-FFF2-40B4-BE49-F238E27FC236}">
              <a16:creationId xmlns="" xmlns:a16="http://schemas.microsoft.com/office/drawing/2014/main" id="{00000000-0008-0000-0200-00000403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773" name="Text Box 10">
          <a:extLst>
            <a:ext uri="{FF2B5EF4-FFF2-40B4-BE49-F238E27FC236}">
              <a16:creationId xmlns="" xmlns:a16="http://schemas.microsoft.com/office/drawing/2014/main" id="{00000000-0008-0000-0200-00000503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774" name="Text Box 11">
          <a:extLst>
            <a:ext uri="{FF2B5EF4-FFF2-40B4-BE49-F238E27FC236}">
              <a16:creationId xmlns="" xmlns:a16="http://schemas.microsoft.com/office/drawing/2014/main" id="{00000000-0008-0000-0200-00000603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455839</xdr:rowOff>
    </xdr:to>
    <xdr:sp macro="" textlink="">
      <xdr:nvSpPr>
        <xdr:cNvPr id="775" name="Text Box 12">
          <a:extLst>
            <a:ext uri="{FF2B5EF4-FFF2-40B4-BE49-F238E27FC236}">
              <a16:creationId xmlns="" xmlns:a16="http://schemas.microsoft.com/office/drawing/2014/main" id="{00000000-0008-0000-0200-000007030000}"/>
            </a:ext>
          </a:extLst>
        </xdr:cNvPr>
        <xdr:cNvSpPr txBox="1">
          <a:spLocks noChangeArrowheads="1"/>
        </xdr:cNvSpPr>
      </xdr:nvSpPr>
      <xdr:spPr bwMode="auto">
        <a:xfrm>
          <a:off x="5353050" y="40986075"/>
          <a:ext cx="9525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776" name="Text Box 10">
          <a:extLst>
            <a:ext uri="{FF2B5EF4-FFF2-40B4-BE49-F238E27FC236}">
              <a16:creationId xmlns="" xmlns:a16="http://schemas.microsoft.com/office/drawing/2014/main" id="{00000000-0008-0000-0200-000008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777" name="Text Box 11">
          <a:extLst>
            <a:ext uri="{FF2B5EF4-FFF2-40B4-BE49-F238E27FC236}">
              <a16:creationId xmlns="" xmlns:a16="http://schemas.microsoft.com/office/drawing/2014/main" id="{00000000-0008-0000-0200-000009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778" name="Text Box 12">
          <a:extLst>
            <a:ext uri="{FF2B5EF4-FFF2-40B4-BE49-F238E27FC236}">
              <a16:creationId xmlns="" xmlns:a16="http://schemas.microsoft.com/office/drawing/2014/main" id="{00000000-0008-0000-0200-00000A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85725</xdr:colOff>
      <xdr:row>30</xdr:row>
      <xdr:rowOff>238125</xdr:rowOff>
    </xdr:to>
    <xdr:sp macro="" textlink="">
      <xdr:nvSpPr>
        <xdr:cNvPr id="779" name="Text Box 10">
          <a:extLst>
            <a:ext uri="{FF2B5EF4-FFF2-40B4-BE49-F238E27FC236}">
              <a16:creationId xmlns="" xmlns:a16="http://schemas.microsoft.com/office/drawing/2014/main" id="{00000000-0008-0000-0200-00000B030000}"/>
            </a:ext>
          </a:extLst>
        </xdr:cNvPr>
        <xdr:cNvSpPr txBox="1">
          <a:spLocks noChangeArrowheads="1"/>
        </xdr:cNvSpPr>
      </xdr:nvSpPr>
      <xdr:spPr bwMode="auto">
        <a:xfrm>
          <a:off x="5353050" y="419862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85725</xdr:colOff>
      <xdr:row>30</xdr:row>
      <xdr:rowOff>238125</xdr:rowOff>
    </xdr:to>
    <xdr:sp macro="" textlink="">
      <xdr:nvSpPr>
        <xdr:cNvPr id="780" name="Text Box 11">
          <a:extLst>
            <a:ext uri="{FF2B5EF4-FFF2-40B4-BE49-F238E27FC236}">
              <a16:creationId xmlns="" xmlns:a16="http://schemas.microsoft.com/office/drawing/2014/main" id="{00000000-0008-0000-0200-00000C030000}"/>
            </a:ext>
          </a:extLst>
        </xdr:cNvPr>
        <xdr:cNvSpPr txBox="1">
          <a:spLocks noChangeArrowheads="1"/>
        </xdr:cNvSpPr>
      </xdr:nvSpPr>
      <xdr:spPr bwMode="auto">
        <a:xfrm>
          <a:off x="5353050" y="419862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85725</xdr:colOff>
      <xdr:row>30</xdr:row>
      <xdr:rowOff>238125</xdr:rowOff>
    </xdr:to>
    <xdr:sp macro="" textlink="">
      <xdr:nvSpPr>
        <xdr:cNvPr id="781" name="Text Box 12">
          <a:extLst>
            <a:ext uri="{FF2B5EF4-FFF2-40B4-BE49-F238E27FC236}">
              <a16:creationId xmlns="" xmlns:a16="http://schemas.microsoft.com/office/drawing/2014/main" id="{00000000-0008-0000-0200-00000D030000}"/>
            </a:ext>
          </a:extLst>
        </xdr:cNvPr>
        <xdr:cNvSpPr txBox="1">
          <a:spLocks noChangeArrowheads="1"/>
        </xdr:cNvSpPr>
      </xdr:nvSpPr>
      <xdr:spPr bwMode="auto">
        <a:xfrm>
          <a:off x="5353050" y="419862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782" name="Text Box 10">
          <a:extLst>
            <a:ext uri="{FF2B5EF4-FFF2-40B4-BE49-F238E27FC236}">
              <a16:creationId xmlns="" xmlns:a16="http://schemas.microsoft.com/office/drawing/2014/main" id="{00000000-0008-0000-0200-00000E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783" name="Text Box 11">
          <a:extLst>
            <a:ext uri="{FF2B5EF4-FFF2-40B4-BE49-F238E27FC236}">
              <a16:creationId xmlns="" xmlns:a16="http://schemas.microsoft.com/office/drawing/2014/main" id="{00000000-0008-0000-0200-00000F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784" name="Text Box 12">
          <a:extLst>
            <a:ext uri="{FF2B5EF4-FFF2-40B4-BE49-F238E27FC236}">
              <a16:creationId xmlns="" xmlns:a16="http://schemas.microsoft.com/office/drawing/2014/main" id="{00000000-0008-0000-0200-000010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85725</xdr:colOff>
      <xdr:row>30</xdr:row>
      <xdr:rowOff>238125</xdr:rowOff>
    </xdr:to>
    <xdr:sp macro="" textlink="">
      <xdr:nvSpPr>
        <xdr:cNvPr id="785" name="Text Box 10">
          <a:extLst>
            <a:ext uri="{FF2B5EF4-FFF2-40B4-BE49-F238E27FC236}">
              <a16:creationId xmlns="" xmlns:a16="http://schemas.microsoft.com/office/drawing/2014/main" id="{00000000-0008-0000-0200-000011030000}"/>
            </a:ext>
          </a:extLst>
        </xdr:cNvPr>
        <xdr:cNvSpPr txBox="1">
          <a:spLocks noChangeArrowheads="1"/>
        </xdr:cNvSpPr>
      </xdr:nvSpPr>
      <xdr:spPr bwMode="auto">
        <a:xfrm>
          <a:off x="5353050" y="419862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85725</xdr:colOff>
      <xdr:row>30</xdr:row>
      <xdr:rowOff>238125</xdr:rowOff>
    </xdr:to>
    <xdr:sp macro="" textlink="">
      <xdr:nvSpPr>
        <xdr:cNvPr id="786" name="Text Box 11">
          <a:extLst>
            <a:ext uri="{FF2B5EF4-FFF2-40B4-BE49-F238E27FC236}">
              <a16:creationId xmlns="" xmlns:a16="http://schemas.microsoft.com/office/drawing/2014/main" id="{00000000-0008-0000-0200-000012030000}"/>
            </a:ext>
          </a:extLst>
        </xdr:cNvPr>
        <xdr:cNvSpPr txBox="1">
          <a:spLocks noChangeArrowheads="1"/>
        </xdr:cNvSpPr>
      </xdr:nvSpPr>
      <xdr:spPr bwMode="auto">
        <a:xfrm>
          <a:off x="5353050" y="419862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85725</xdr:colOff>
      <xdr:row>30</xdr:row>
      <xdr:rowOff>238125</xdr:rowOff>
    </xdr:to>
    <xdr:sp macro="" textlink="">
      <xdr:nvSpPr>
        <xdr:cNvPr id="787" name="Text Box 12">
          <a:extLst>
            <a:ext uri="{FF2B5EF4-FFF2-40B4-BE49-F238E27FC236}">
              <a16:creationId xmlns="" xmlns:a16="http://schemas.microsoft.com/office/drawing/2014/main" id="{00000000-0008-0000-0200-000013030000}"/>
            </a:ext>
          </a:extLst>
        </xdr:cNvPr>
        <xdr:cNvSpPr txBox="1">
          <a:spLocks noChangeArrowheads="1"/>
        </xdr:cNvSpPr>
      </xdr:nvSpPr>
      <xdr:spPr bwMode="auto">
        <a:xfrm>
          <a:off x="5353050" y="419862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788" name="Text Box 10">
          <a:extLst>
            <a:ext uri="{FF2B5EF4-FFF2-40B4-BE49-F238E27FC236}">
              <a16:creationId xmlns="" xmlns:a16="http://schemas.microsoft.com/office/drawing/2014/main" id="{00000000-0008-0000-0200-000014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789" name="Text Box 11">
          <a:extLst>
            <a:ext uri="{FF2B5EF4-FFF2-40B4-BE49-F238E27FC236}">
              <a16:creationId xmlns="" xmlns:a16="http://schemas.microsoft.com/office/drawing/2014/main" id="{00000000-0008-0000-0200-000015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790" name="Text Box 12">
          <a:extLst>
            <a:ext uri="{FF2B5EF4-FFF2-40B4-BE49-F238E27FC236}">
              <a16:creationId xmlns="" xmlns:a16="http://schemas.microsoft.com/office/drawing/2014/main" id="{00000000-0008-0000-0200-000016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791" name="Text Box 10">
          <a:extLst>
            <a:ext uri="{FF2B5EF4-FFF2-40B4-BE49-F238E27FC236}">
              <a16:creationId xmlns="" xmlns:a16="http://schemas.microsoft.com/office/drawing/2014/main" id="{00000000-0008-0000-0200-000017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792" name="Text Box 11">
          <a:extLst>
            <a:ext uri="{FF2B5EF4-FFF2-40B4-BE49-F238E27FC236}">
              <a16:creationId xmlns="" xmlns:a16="http://schemas.microsoft.com/office/drawing/2014/main" id="{00000000-0008-0000-0200-000018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793" name="Text Box 12">
          <a:extLst>
            <a:ext uri="{FF2B5EF4-FFF2-40B4-BE49-F238E27FC236}">
              <a16:creationId xmlns="" xmlns:a16="http://schemas.microsoft.com/office/drawing/2014/main" id="{00000000-0008-0000-0200-000019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794" name="Text Box 10">
          <a:extLst>
            <a:ext uri="{FF2B5EF4-FFF2-40B4-BE49-F238E27FC236}">
              <a16:creationId xmlns="" xmlns:a16="http://schemas.microsoft.com/office/drawing/2014/main" id="{00000000-0008-0000-0200-00001A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795" name="Text Box 11">
          <a:extLst>
            <a:ext uri="{FF2B5EF4-FFF2-40B4-BE49-F238E27FC236}">
              <a16:creationId xmlns="" xmlns:a16="http://schemas.microsoft.com/office/drawing/2014/main" id="{00000000-0008-0000-0200-00001B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796" name="Text Box 12">
          <a:extLst>
            <a:ext uri="{FF2B5EF4-FFF2-40B4-BE49-F238E27FC236}">
              <a16:creationId xmlns="" xmlns:a16="http://schemas.microsoft.com/office/drawing/2014/main" id="{00000000-0008-0000-0200-00001C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797" name="Text Box 10">
          <a:extLst>
            <a:ext uri="{FF2B5EF4-FFF2-40B4-BE49-F238E27FC236}">
              <a16:creationId xmlns="" xmlns:a16="http://schemas.microsoft.com/office/drawing/2014/main" id="{00000000-0008-0000-0200-00001D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798" name="Text Box 11">
          <a:extLst>
            <a:ext uri="{FF2B5EF4-FFF2-40B4-BE49-F238E27FC236}">
              <a16:creationId xmlns="" xmlns:a16="http://schemas.microsoft.com/office/drawing/2014/main" id="{00000000-0008-0000-0200-00001E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799" name="Text Box 12">
          <a:extLst>
            <a:ext uri="{FF2B5EF4-FFF2-40B4-BE49-F238E27FC236}">
              <a16:creationId xmlns="" xmlns:a16="http://schemas.microsoft.com/office/drawing/2014/main" id="{00000000-0008-0000-0200-00001F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800" name="Text Box 10">
          <a:extLst>
            <a:ext uri="{FF2B5EF4-FFF2-40B4-BE49-F238E27FC236}">
              <a16:creationId xmlns="" xmlns:a16="http://schemas.microsoft.com/office/drawing/2014/main" id="{00000000-0008-0000-0200-000020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801" name="Text Box 11">
          <a:extLst>
            <a:ext uri="{FF2B5EF4-FFF2-40B4-BE49-F238E27FC236}">
              <a16:creationId xmlns="" xmlns:a16="http://schemas.microsoft.com/office/drawing/2014/main" id="{00000000-0008-0000-0200-000021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802" name="Text Box 12">
          <a:extLst>
            <a:ext uri="{FF2B5EF4-FFF2-40B4-BE49-F238E27FC236}">
              <a16:creationId xmlns="" xmlns:a16="http://schemas.microsoft.com/office/drawing/2014/main" id="{00000000-0008-0000-0200-000022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85725</xdr:colOff>
      <xdr:row>30</xdr:row>
      <xdr:rowOff>238125</xdr:rowOff>
    </xdr:to>
    <xdr:sp macro="" textlink="">
      <xdr:nvSpPr>
        <xdr:cNvPr id="803" name="Text Box 10">
          <a:extLst>
            <a:ext uri="{FF2B5EF4-FFF2-40B4-BE49-F238E27FC236}">
              <a16:creationId xmlns="" xmlns:a16="http://schemas.microsoft.com/office/drawing/2014/main" id="{00000000-0008-0000-0200-000023030000}"/>
            </a:ext>
          </a:extLst>
        </xdr:cNvPr>
        <xdr:cNvSpPr txBox="1">
          <a:spLocks noChangeArrowheads="1"/>
        </xdr:cNvSpPr>
      </xdr:nvSpPr>
      <xdr:spPr bwMode="auto">
        <a:xfrm>
          <a:off x="5353050" y="419862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85725</xdr:colOff>
      <xdr:row>30</xdr:row>
      <xdr:rowOff>238125</xdr:rowOff>
    </xdr:to>
    <xdr:sp macro="" textlink="">
      <xdr:nvSpPr>
        <xdr:cNvPr id="804" name="Text Box 11">
          <a:extLst>
            <a:ext uri="{FF2B5EF4-FFF2-40B4-BE49-F238E27FC236}">
              <a16:creationId xmlns="" xmlns:a16="http://schemas.microsoft.com/office/drawing/2014/main" id="{00000000-0008-0000-0200-000024030000}"/>
            </a:ext>
          </a:extLst>
        </xdr:cNvPr>
        <xdr:cNvSpPr txBox="1">
          <a:spLocks noChangeArrowheads="1"/>
        </xdr:cNvSpPr>
      </xdr:nvSpPr>
      <xdr:spPr bwMode="auto">
        <a:xfrm>
          <a:off x="5353050" y="419862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85725</xdr:colOff>
      <xdr:row>30</xdr:row>
      <xdr:rowOff>238125</xdr:rowOff>
    </xdr:to>
    <xdr:sp macro="" textlink="">
      <xdr:nvSpPr>
        <xdr:cNvPr id="805" name="Text Box 12">
          <a:extLst>
            <a:ext uri="{FF2B5EF4-FFF2-40B4-BE49-F238E27FC236}">
              <a16:creationId xmlns="" xmlns:a16="http://schemas.microsoft.com/office/drawing/2014/main" id="{00000000-0008-0000-0200-000025030000}"/>
            </a:ext>
          </a:extLst>
        </xdr:cNvPr>
        <xdr:cNvSpPr txBox="1">
          <a:spLocks noChangeArrowheads="1"/>
        </xdr:cNvSpPr>
      </xdr:nvSpPr>
      <xdr:spPr bwMode="auto">
        <a:xfrm>
          <a:off x="5353050" y="419862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806" name="Text Box 10">
          <a:extLst>
            <a:ext uri="{FF2B5EF4-FFF2-40B4-BE49-F238E27FC236}">
              <a16:creationId xmlns="" xmlns:a16="http://schemas.microsoft.com/office/drawing/2014/main" id="{00000000-0008-0000-0200-000026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807" name="Text Box 11">
          <a:extLst>
            <a:ext uri="{FF2B5EF4-FFF2-40B4-BE49-F238E27FC236}">
              <a16:creationId xmlns="" xmlns:a16="http://schemas.microsoft.com/office/drawing/2014/main" id="{00000000-0008-0000-0200-000027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808" name="Text Box 12">
          <a:extLst>
            <a:ext uri="{FF2B5EF4-FFF2-40B4-BE49-F238E27FC236}">
              <a16:creationId xmlns="" xmlns:a16="http://schemas.microsoft.com/office/drawing/2014/main" id="{00000000-0008-0000-0200-000028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85725</xdr:colOff>
      <xdr:row>30</xdr:row>
      <xdr:rowOff>238125</xdr:rowOff>
    </xdr:to>
    <xdr:sp macro="" textlink="">
      <xdr:nvSpPr>
        <xdr:cNvPr id="809" name="Text Box 10">
          <a:extLst>
            <a:ext uri="{FF2B5EF4-FFF2-40B4-BE49-F238E27FC236}">
              <a16:creationId xmlns="" xmlns:a16="http://schemas.microsoft.com/office/drawing/2014/main" id="{00000000-0008-0000-0200-000029030000}"/>
            </a:ext>
          </a:extLst>
        </xdr:cNvPr>
        <xdr:cNvSpPr txBox="1">
          <a:spLocks noChangeArrowheads="1"/>
        </xdr:cNvSpPr>
      </xdr:nvSpPr>
      <xdr:spPr bwMode="auto">
        <a:xfrm>
          <a:off x="5353050" y="419862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85725</xdr:colOff>
      <xdr:row>30</xdr:row>
      <xdr:rowOff>238125</xdr:rowOff>
    </xdr:to>
    <xdr:sp macro="" textlink="">
      <xdr:nvSpPr>
        <xdr:cNvPr id="810" name="Text Box 11">
          <a:extLst>
            <a:ext uri="{FF2B5EF4-FFF2-40B4-BE49-F238E27FC236}">
              <a16:creationId xmlns="" xmlns:a16="http://schemas.microsoft.com/office/drawing/2014/main" id="{00000000-0008-0000-0200-00002A030000}"/>
            </a:ext>
          </a:extLst>
        </xdr:cNvPr>
        <xdr:cNvSpPr txBox="1">
          <a:spLocks noChangeArrowheads="1"/>
        </xdr:cNvSpPr>
      </xdr:nvSpPr>
      <xdr:spPr bwMode="auto">
        <a:xfrm>
          <a:off x="5353050" y="419862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85725</xdr:colOff>
      <xdr:row>30</xdr:row>
      <xdr:rowOff>238125</xdr:rowOff>
    </xdr:to>
    <xdr:sp macro="" textlink="">
      <xdr:nvSpPr>
        <xdr:cNvPr id="811" name="Text Box 12">
          <a:extLst>
            <a:ext uri="{FF2B5EF4-FFF2-40B4-BE49-F238E27FC236}">
              <a16:creationId xmlns="" xmlns:a16="http://schemas.microsoft.com/office/drawing/2014/main" id="{00000000-0008-0000-0200-00002B030000}"/>
            </a:ext>
          </a:extLst>
        </xdr:cNvPr>
        <xdr:cNvSpPr txBox="1">
          <a:spLocks noChangeArrowheads="1"/>
        </xdr:cNvSpPr>
      </xdr:nvSpPr>
      <xdr:spPr bwMode="auto">
        <a:xfrm>
          <a:off x="5353050" y="419862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812" name="Text Box 10">
          <a:extLst>
            <a:ext uri="{FF2B5EF4-FFF2-40B4-BE49-F238E27FC236}">
              <a16:creationId xmlns="" xmlns:a16="http://schemas.microsoft.com/office/drawing/2014/main" id="{00000000-0008-0000-0200-00002C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813" name="Text Box 11">
          <a:extLst>
            <a:ext uri="{FF2B5EF4-FFF2-40B4-BE49-F238E27FC236}">
              <a16:creationId xmlns="" xmlns:a16="http://schemas.microsoft.com/office/drawing/2014/main" id="{00000000-0008-0000-0200-00002D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814" name="Text Box 12">
          <a:extLst>
            <a:ext uri="{FF2B5EF4-FFF2-40B4-BE49-F238E27FC236}">
              <a16:creationId xmlns="" xmlns:a16="http://schemas.microsoft.com/office/drawing/2014/main" id="{00000000-0008-0000-0200-00002E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815" name="Text Box 10">
          <a:extLst>
            <a:ext uri="{FF2B5EF4-FFF2-40B4-BE49-F238E27FC236}">
              <a16:creationId xmlns="" xmlns:a16="http://schemas.microsoft.com/office/drawing/2014/main" id="{00000000-0008-0000-0200-00002F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816" name="Text Box 11">
          <a:extLst>
            <a:ext uri="{FF2B5EF4-FFF2-40B4-BE49-F238E27FC236}">
              <a16:creationId xmlns="" xmlns:a16="http://schemas.microsoft.com/office/drawing/2014/main" id="{00000000-0008-0000-0200-000030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817" name="Text Box 12">
          <a:extLst>
            <a:ext uri="{FF2B5EF4-FFF2-40B4-BE49-F238E27FC236}">
              <a16:creationId xmlns="" xmlns:a16="http://schemas.microsoft.com/office/drawing/2014/main" id="{00000000-0008-0000-0200-000031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818" name="Text Box 10">
          <a:extLst>
            <a:ext uri="{FF2B5EF4-FFF2-40B4-BE49-F238E27FC236}">
              <a16:creationId xmlns="" xmlns:a16="http://schemas.microsoft.com/office/drawing/2014/main" id="{00000000-0008-0000-0200-000032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819" name="Text Box 11">
          <a:extLst>
            <a:ext uri="{FF2B5EF4-FFF2-40B4-BE49-F238E27FC236}">
              <a16:creationId xmlns="" xmlns:a16="http://schemas.microsoft.com/office/drawing/2014/main" id="{00000000-0008-0000-0200-000033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820" name="Text Box 12">
          <a:extLst>
            <a:ext uri="{FF2B5EF4-FFF2-40B4-BE49-F238E27FC236}">
              <a16:creationId xmlns="" xmlns:a16="http://schemas.microsoft.com/office/drawing/2014/main" id="{00000000-0008-0000-0200-000034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821" name="Text Box 10">
          <a:extLst>
            <a:ext uri="{FF2B5EF4-FFF2-40B4-BE49-F238E27FC236}">
              <a16:creationId xmlns="" xmlns:a16="http://schemas.microsoft.com/office/drawing/2014/main" id="{00000000-0008-0000-0200-000035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822" name="Text Box 11">
          <a:extLst>
            <a:ext uri="{FF2B5EF4-FFF2-40B4-BE49-F238E27FC236}">
              <a16:creationId xmlns="" xmlns:a16="http://schemas.microsoft.com/office/drawing/2014/main" id="{00000000-0008-0000-0200-000036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823" name="Text Box 12">
          <a:extLst>
            <a:ext uri="{FF2B5EF4-FFF2-40B4-BE49-F238E27FC236}">
              <a16:creationId xmlns="" xmlns:a16="http://schemas.microsoft.com/office/drawing/2014/main" id="{00000000-0008-0000-0200-000037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824" name="Text Box 10">
          <a:extLst>
            <a:ext uri="{FF2B5EF4-FFF2-40B4-BE49-F238E27FC236}">
              <a16:creationId xmlns="" xmlns:a16="http://schemas.microsoft.com/office/drawing/2014/main" id="{00000000-0008-0000-0200-000038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825" name="Text Box 11">
          <a:extLst>
            <a:ext uri="{FF2B5EF4-FFF2-40B4-BE49-F238E27FC236}">
              <a16:creationId xmlns="" xmlns:a16="http://schemas.microsoft.com/office/drawing/2014/main" id="{00000000-0008-0000-0200-000039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826" name="Text Box 12">
          <a:extLst>
            <a:ext uri="{FF2B5EF4-FFF2-40B4-BE49-F238E27FC236}">
              <a16:creationId xmlns="" xmlns:a16="http://schemas.microsoft.com/office/drawing/2014/main" id="{00000000-0008-0000-0200-00003A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827" name="Text Box 10">
          <a:extLst>
            <a:ext uri="{FF2B5EF4-FFF2-40B4-BE49-F238E27FC236}">
              <a16:creationId xmlns="" xmlns:a16="http://schemas.microsoft.com/office/drawing/2014/main" id="{00000000-0008-0000-0200-00003B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828" name="Text Box 11">
          <a:extLst>
            <a:ext uri="{FF2B5EF4-FFF2-40B4-BE49-F238E27FC236}">
              <a16:creationId xmlns="" xmlns:a16="http://schemas.microsoft.com/office/drawing/2014/main" id="{00000000-0008-0000-0200-00003C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829" name="Text Box 12">
          <a:extLst>
            <a:ext uri="{FF2B5EF4-FFF2-40B4-BE49-F238E27FC236}">
              <a16:creationId xmlns="" xmlns:a16="http://schemas.microsoft.com/office/drawing/2014/main" id="{00000000-0008-0000-0200-00003D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830" name="Text Box 10">
          <a:extLst>
            <a:ext uri="{FF2B5EF4-FFF2-40B4-BE49-F238E27FC236}">
              <a16:creationId xmlns="" xmlns:a16="http://schemas.microsoft.com/office/drawing/2014/main" id="{00000000-0008-0000-0200-00003E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831" name="Text Box 11">
          <a:extLst>
            <a:ext uri="{FF2B5EF4-FFF2-40B4-BE49-F238E27FC236}">
              <a16:creationId xmlns="" xmlns:a16="http://schemas.microsoft.com/office/drawing/2014/main" id="{00000000-0008-0000-0200-00003F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832" name="Text Box 12">
          <a:extLst>
            <a:ext uri="{FF2B5EF4-FFF2-40B4-BE49-F238E27FC236}">
              <a16:creationId xmlns="" xmlns:a16="http://schemas.microsoft.com/office/drawing/2014/main" id="{00000000-0008-0000-0200-000040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833" name="Text Box 10">
          <a:extLst>
            <a:ext uri="{FF2B5EF4-FFF2-40B4-BE49-F238E27FC236}">
              <a16:creationId xmlns="" xmlns:a16="http://schemas.microsoft.com/office/drawing/2014/main" id="{00000000-0008-0000-0200-000041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834" name="Text Box 11">
          <a:extLst>
            <a:ext uri="{FF2B5EF4-FFF2-40B4-BE49-F238E27FC236}">
              <a16:creationId xmlns="" xmlns:a16="http://schemas.microsoft.com/office/drawing/2014/main" id="{00000000-0008-0000-0200-000042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835" name="Text Box 12">
          <a:extLst>
            <a:ext uri="{FF2B5EF4-FFF2-40B4-BE49-F238E27FC236}">
              <a16:creationId xmlns="" xmlns:a16="http://schemas.microsoft.com/office/drawing/2014/main" id="{00000000-0008-0000-0200-000043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836" name="Text Box 10">
          <a:extLst>
            <a:ext uri="{FF2B5EF4-FFF2-40B4-BE49-F238E27FC236}">
              <a16:creationId xmlns="" xmlns:a16="http://schemas.microsoft.com/office/drawing/2014/main" id="{00000000-0008-0000-0200-000044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837" name="Text Box 11">
          <a:extLst>
            <a:ext uri="{FF2B5EF4-FFF2-40B4-BE49-F238E27FC236}">
              <a16:creationId xmlns="" xmlns:a16="http://schemas.microsoft.com/office/drawing/2014/main" id="{00000000-0008-0000-0200-000045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838" name="Text Box 12">
          <a:extLst>
            <a:ext uri="{FF2B5EF4-FFF2-40B4-BE49-F238E27FC236}">
              <a16:creationId xmlns="" xmlns:a16="http://schemas.microsoft.com/office/drawing/2014/main" id="{00000000-0008-0000-0200-000046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839" name="Text Box 10">
          <a:extLst>
            <a:ext uri="{FF2B5EF4-FFF2-40B4-BE49-F238E27FC236}">
              <a16:creationId xmlns="" xmlns:a16="http://schemas.microsoft.com/office/drawing/2014/main" id="{00000000-0008-0000-0200-000047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840" name="Text Box 11">
          <a:extLst>
            <a:ext uri="{FF2B5EF4-FFF2-40B4-BE49-F238E27FC236}">
              <a16:creationId xmlns="" xmlns:a16="http://schemas.microsoft.com/office/drawing/2014/main" id="{00000000-0008-0000-0200-000048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841" name="Text Box 12">
          <a:extLst>
            <a:ext uri="{FF2B5EF4-FFF2-40B4-BE49-F238E27FC236}">
              <a16:creationId xmlns="" xmlns:a16="http://schemas.microsoft.com/office/drawing/2014/main" id="{00000000-0008-0000-0200-000049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842" name="Text Box 10">
          <a:extLst>
            <a:ext uri="{FF2B5EF4-FFF2-40B4-BE49-F238E27FC236}">
              <a16:creationId xmlns="" xmlns:a16="http://schemas.microsoft.com/office/drawing/2014/main" id="{00000000-0008-0000-0200-00004A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843" name="Text Box 11">
          <a:extLst>
            <a:ext uri="{FF2B5EF4-FFF2-40B4-BE49-F238E27FC236}">
              <a16:creationId xmlns="" xmlns:a16="http://schemas.microsoft.com/office/drawing/2014/main" id="{00000000-0008-0000-0200-00004B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844" name="Text Box 12">
          <a:extLst>
            <a:ext uri="{FF2B5EF4-FFF2-40B4-BE49-F238E27FC236}">
              <a16:creationId xmlns="" xmlns:a16="http://schemas.microsoft.com/office/drawing/2014/main" id="{00000000-0008-0000-0200-00004C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85725</xdr:colOff>
      <xdr:row>30</xdr:row>
      <xdr:rowOff>238125</xdr:rowOff>
    </xdr:to>
    <xdr:sp macro="" textlink="">
      <xdr:nvSpPr>
        <xdr:cNvPr id="845" name="Text Box 10">
          <a:extLst>
            <a:ext uri="{FF2B5EF4-FFF2-40B4-BE49-F238E27FC236}">
              <a16:creationId xmlns="" xmlns:a16="http://schemas.microsoft.com/office/drawing/2014/main" id="{00000000-0008-0000-0200-00004D030000}"/>
            </a:ext>
          </a:extLst>
        </xdr:cNvPr>
        <xdr:cNvSpPr txBox="1">
          <a:spLocks noChangeArrowheads="1"/>
        </xdr:cNvSpPr>
      </xdr:nvSpPr>
      <xdr:spPr bwMode="auto">
        <a:xfrm>
          <a:off x="5353050" y="419862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85725</xdr:colOff>
      <xdr:row>30</xdr:row>
      <xdr:rowOff>238125</xdr:rowOff>
    </xdr:to>
    <xdr:sp macro="" textlink="">
      <xdr:nvSpPr>
        <xdr:cNvPr id="846" name="Text Box 11">
          <a:extLst>
            <a:ext uri="{FF2B5EF4-FFF2-40B4-BE49-F238E27FC236}">
              <a16:creationId xmlns="" xmlns:a16="http://schemas.microsoft.com/office/drawing/2014/main" id="{00000000-0008-0000-0200-00004E030000}"/>
            </a:ext>
          </a:extLst>
        </xdr:cNvPr>
        <xdr:cNvSpPr txBox="1">
          <a:spLocks noChangeArrowheads="1"/>
        </xdr:cNvSpPr>
      </xdr:nvSpPr>
      <xdr:spPr bwMode="auto">
        <a:xfrm>
          <a:off x="5353050" y="419862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85725</xdr:colOff>
      <xdr:row>30</xdr:row>
      <xdr:rowOff>238125</xdr:rowOff>
    </xdr:to>
    <xdr:sp macro="" textlink="">
      <xdr:nvSpPr>
        <xdr:cNvPr id="847" name="Text Box 12">
          <a:extLst>
            <a:ext uri="{FF2B5EF4-FFF2-40B4-BE49-F238E27FC236}">
              <a16:creationId xmlns="" xmlns:a16="http://schemas.microsoft.com/office/drawing/2014/main" id="{00000000-0008-0000-0200-00004F030000}"/>
            </a:ext>
          </a:extLst>
        </xdr:cNvPr>
        <xdr:cNvSpPr txBox="1">
          <a:spLocks noChangeArrowheads="1"/>
        </xdr:cNvSpPr>
      </xdr:nvSpPr>
      <xdr:spPr bwMode="auto">
        <a:xfrm>
          <a:off x="5353050" y="419862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848" name="Text Box 10">
          <a:extLst>
            <a:ext uri="{FF2B5EF4-FFF2-40B4-BE49-F238E27FC236}">
              <a16:creationId xmlns="" xmlns:a16="http://schemas.microsoft.com/office/drawing/2014/main" id="{00000000-0008-0000-0200-000050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849" name="Text Box 11">
          <a:extLst>
            <a:ext uri="{FF2B5EF4-FFF2-40B4-BE49-F238E27FC236}">
              <a16:creationId xmlns="" xmlns:a16="http://schemas.microsoft.com/office/drawing/2014/main" id="{00000000-0008-0000-0200-000051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850" name="Text Box 12">
          <a:extLst>
            <a:ext uri="{FF2B5EF4-FFF2-40B4-BE49-F238E27FC236}">
              <a16:creationId xmlns="" xmlns:a16="http://schemas.microsoft.com/office/drawing/2014/main" id="{00000000-0008-0000-0200-000052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85725</xdr:colOff>
      <xdr:row>30</xdr:row>
      <xdr:rowOff>238125</xdr:rowOff>
    </xdr:to>
    <xdr:sp macro="" textlink="">
      <xdr:nvSpPr>
        <xdr:cNvPr id="851" name="Text Box 10">
          <a:extLst>
            <a:ext uri="{FF2B5EF4-FFF2-40B4-BE49-F238E27FC236}">
              <a16:creationId xmlns="" xmlns:a16="http://schemas.microsoft.com/office/drawing/2014/main" id="{00000000-0008-0000-0200-000053030000}"/>
            </a:ext>
          </a:extLst>
        </xdr:cNvPr>
        <xdr:cNvSpPr txBox="1">
          <a:spLocks noChangeArrowheads="1"/>
        </xdr:cNvSpPr>
      </xdr:nvSpPr>
      <xdr:spPr bwMode="auto">
        <a:xfrm>
          <a:off x="5353050" y="419862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85725</xdr:colOff>
      <xdr:row>30</xdr:row>
      <xdr:rowOff>238125</xdr:rowOff>
    </xdr:to>
    <xdr:sp macro="" textlink="">
      <xdr:nvSpPr>
        <xdr:cNvPr id="852" name="Text Box 11">
          <a:extLst>
            <a:ext uri="{FF2B5EF4-FFF2-40B4-BE49-F238E27FC236}">
              <a16:creationId xmlns="" xmlns:a16="http://schemas.microsoft.com/office/drawing/2014/main" id="{00000000-0008-0000-0200-000054030000}"/>
            </a:ext>
          </a:extLst>
        </xdr:cNvPr>
        <xdr:cNvSpPr txBox="1">
          <a:spLocks noChangeArrowheads="1"/>
        </xdr:cNvSpPr>
      </xdr:nvSpPr>
      <xdr:spPr bwMode="auto">
        <a:xfrm>
          <a:off x="5353050" y="419862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85725</xdr:colOff>
      <xdr:row>30</xdr:row>
      <xdr:rowOff>238125</xdr:rowOff>
    </xdr:to>
    <xdr:sp macro="" textlink="">
      <xdr:nvSpPr>
        <xdr:cNvPr id="853" name="Text Box 12">
          <a:extLst>
            <a:ext uri="{FF2B5EF4-FFF2-40B4-BE49-F238E27FC236}">
              <a16:creationId xmlns="" xmlns:a16="http://schemas.microsoft.com/office/drawing/2014/main" id="{00000000-0008-0000-0200-000055030000}"/>
            </a:ext>
          </a:extLst>
        </xdr:cNvPr>
        <xdr:cNvSpPr txBox="1">
          <a:spLocks noChangeArrowheads="1"/>
        </xdr:cNvSpPr>
      </xdr:nvSpPr>
      <xdr:spPr bwMode="auto">
        <a:xfrm>
          <a:off x="5353050" y="419862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854" name="Text Box 10">
          <a:extLst>
            <a:ext uri="{FF2B5EF4-FFF2-40B4-BE49-F238E27FC236}">
              <a16:creationId xmlns="" xmlns:a16="http://schemas.microsoft.com/office/drawing/2014/main" id="{00000000-0008-0000-0200-000056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855" name="Text Box 11">
          <a:extLst>
            <a:ext uri="{FF2B5EF4-FFF2-40B4-BE49-F238E27FC236}">
              <a16:creationId xmlns="" xmlns:a16="http://schemas.microsoft.com/office/drawing/2014/main" id="{00000000-0008-0000-0200-000057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856" name="Text Box 12">
          <a:extLst>
            <a:ext uri="{FF2B5EF4-FFF2-40B4-BE49-F238E27FC236}">
              <a16:creationId xmlns="" xmlns:a16="http://schemas.microsoft.com/office/drawing/2014/main" id="{00000000-0008-0000-0200-000058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857" name="Text Box 10">
          <a:extLst>
            <a:ext uri="{FF2B5EF4-FFF2-40B4-BE49-F238E27FC236}">
              <a16:creationId xmlns="" xmlns:a16="http://schemas.microsoft.com/office/drawing/2014/main" id="{00000000-0008-0000-0200-000059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858" name="Text Box 11">
          <a:extLst>
            <a:ext uri="{FF2B5EF4-FFF2-40B4-BE49-F238E27FC236}">
              <a16:creationId xmlns="" xmlns:a16="http://schemas.microsoft.com/office/drawing/2014/main" id="{00000000-0008-0000-0200-00005A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859" name="Text Box 12">
          <a:extLst>
            <a:ext uri="{FF2B5EF4-FFF2-40B4-BE49-F238E27FC236}">
              <a16:creationId xmlns="" xmlns:a16="http://schemas.microsoft.com/office/drawing/2014/main" id="{00000000-0008-0000-0200-00005B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860" name="Text Box 10">
          <a:extLst>
            <a:ext uri="{FF2B5EF4-FFF2-40B4-BE49-F238E27FC236}">
              <a16:creationId xmlns="" xmlns:a16="http://schemas.microsoft.com/office/drawing/2014/main" id="{00000000-0008-0000-0200-00005C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861" name="Text Box 11">
          <a:extLst>
            <a:ext uri="{FF2B5EF4-FFF2-40B4-BE49-F238E27FC236}">
              <a16:creationId xmlns="" xmlns:a16="http://schemas.microsoft.com/office/drawing/2014/main" id="{00000000-0008-0000-0200-00005D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862" name="Text Box 12">
          <a:extLst>
            <a:ext uri="{FF2B5EF4-FFF2-40B4-BE49-F238E27FC236}">
              <a16:creationId xmlns="" xmlns:a16="http://schemas.microsoft.com/office/drawing/2014/main" id="{00000000-0008-0000-0200-00005E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863" name="Text Box 10">
          <a:extLst>
            <a:ext uri="{FF2B5EF4-FFF2-40B4-BE49-F238E27FC236}">
              <a16:creationId xmlns="" xmlns:a16="http://schemas.microsoft.com/office/drawing/2014/main" id="{00000000-0008-0000-0200-00005F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864" name="Text Box 11">
          <a:extLst>
            <a:ext uri="{FF2B5EF4-FFF2-40B4-BE49-F238E27FC236}">
              <a16:creationId xmlns="" xmlns:a16="http://schemas.microsoft.com/office/drawing/2014/main" id="{00000000-0008-0000-0200-000060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865" name="Text Box 12">
          <a:extLst>
            <a:ext uri="{FF2B5EF4-FFF2-40B4-BE49-F238E27FC236}">
              <a16:creationId xmlns="" xmlns:a16="http://schemas.microsoft.com/office/drawing/2014/main" id="{00000000-0008-0000-0200-000061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866" name="Text Box 10">
          <a:extLst>
            <a:ext uri="{FF2B5EF4-FFF2-40B4-BE49-F238E27FC236}">
              <a16:creationId xmlns="" xmlns:a16="http://schemas.microsoft.com/office/drawing/2014/main" id="{00000000-0008-0000-0200-000062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867" name="Text Box 11">
          <a:extLst>
            <a:ext uri="{FF2B5EF4-FFF2-40B4-BE49-F238E27FC236}">
              <a16:creationId xmlns="" xmlns:a16="http://schemas.microsoft.com/office/drawing/2014/main" id="{00000000-0008-0000-0200-000063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868" name="Text Box 12">
          <a:extLst>
            <a:ext uri="{FF2B5EF4-FFF2-40B4-BE49-F238E27FC236}">
              <a16:creationId xmlns="" xmlns:a16="http://schemas.microsoft.com/office/drawing/2014/main" id="{00000000-0008-0000-0200-000064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869" name="Text Box 10">
          <a:extLst>
            <a:ext uri="{FF2B5EF4-FFF2-40B4-BE49-F238E27FC236}">
              <a16:creationId xmlns="" xmlns:a16="http://schemas.microsoft.com/office/drawing/2014/main" id="{00000000-0008-0000-0200-000065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870" name="Text Box 11">
          <a:extLst>
            <a:ext uri="{FF2B5EF4-FFF2-40B4-BE49-F238E27FC236}">
              <a16:creationId xmlns="" xmlns:a16="http://schemas.microsoft.com/office/drawing/2014/main" id="{00000000-0008-0000-0200-000066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871" name="Text Box 12">
          <a:extLst>
            <a:ext uri="{FF2B5EF4-FFF2-40B4-BE49-F238E27FC236}">
              <a16:creationId xmlns="" xmlns:a16="http://schemas.microsoft.com/office/drawing/2014/main" id="{00000000-0008-0000-0200-000067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872" name="Text Box 10">
          <a:extLst>
            <a:ext uri="{FF2B5EF4-FFF2-40B4-BE49-F238E27FC236}">
              <a16:creationId xmlns="" xmlns:a16="http://schemas.microsoft.com/office/drawing/2014/main" id="{00000000-0008-0000-0200-000068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873" name="Text Box 11">
          <a:extLst>
            <a:ext uri="{FF2B5EF4-FFF2-40B4-BE49-F238E27FC236}">
              <a16:creationId xmlns="" xmlns:a16="http://schemas.microsoft.com/office/drawing/2014/main" id="{00000000-0008-0000-0200-000069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874" name="Text Box 12">
          <a:extLst>
            <a:ext uri="{FF2B5EF4-FFF2-40B4-BE49-F238E27FC236}">
              <a16:creationId xmlns="" xmlns:a16="http://schemas.microsoft.com/office/drawing/2014/main" id="{00000000-0008-0000-0200-00006A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875" name="Text Box 10">
          <a:extLst>
            <a:ext uri="{FF2B5EF4-FFF2-40B4-BE49-F238E27FC236}">
              <a16:creationId xmlns="" xmlns:a16="http://schemas.microsoft.com/office/drawing/2014/main" id="{00000000-0008-0000-0200-00006B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876" name="Text Box 11">
          <a:extLst>
            <a:ext uri="{FF2B5EF4-FFF2-40B4-BE49-F238E27FC236}">
              <a16:creationId xmlns="" xmlns:a16="http://schemas.microsoft.com/office/drawing/2014/main" id="{00000000-0008-0000-0200-00006C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877" name="Text Box 12">
          <a:extLst>
            <a:ext uri="{FF2B5EF4-FFF2-40B4-BE49-F238E27FC236}">
              <a16:creationId xmlns="" xmlns:a16="http://schemas.microsoft.com/office/drawing/2014/main" id="{00000000-0008-0000-0200-00006D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878" name="Text Box 10">
          <a:extLst>
            <a:ext uri="{FF2B5EF4-FFF2-40B4-BE49-F238E27FC236}">
              <a16:creationId xmlns="" xmlns:a16="http://schemas.microsoft.com/office/drawing/2014/main" id="{00000000-0008-0000-0200-00006E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879" name="Text Box 11">
          <a:extLst>
            <a:ext uri="{FF2B5EF4-FFF2-40B4-BE49-F238E27FC236}">
              <a16:creationId xmlns="" xmlns:a16="http://schemas.microsoft.com/office/drawing/2014/main" id="{00000000-0008-0000-0200-00006F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880" name="Text Box 12">
          <a:extLst>
            <a:ext uri="{FF2B5EF4-FFF2-40B4-BE49-F238E27FC236}">
              <a16:creationId xmlns="" xmlns:a16="http://schemas.microsoft.com/office/drawing/2014/main" id="{00000000-0008-0000-0200-000070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881" name="Text Box 10">
          <a:extLst>
            <a:ext uri="{FF2B5EF4-FFF2-40B4-BE49-F238E27FC236}">
              <a16:creationId xmlns="" xmlns:a16="http://schemas.microsoft.com/office/drawing/2014/main" id="{00000000-0008-0000-0200-000071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882" name="Text Box 11">
          <a:extLst>
            <a:ext uri="{FF2B5EF4-FFF2-40B4-BE49-F238E27FC236}">
              <a16:creationId xmlns="" xmlns:a16="http://schemas.microsoft.com/office/drawing/2014/main" id="{00000000-0008-0000-0200-000072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883" name="Text Box 12">
          <a:extLst>
            <a:ext uri="{FF2B5EF4-FFF2-40B4-BE49-F238E27FC236}">
              <a16:creationId xmlns="" xmlns:a16="http://schemas.microsoft.com/office/drawing/2014/main" id="{00000000-0008-0000-0200-000073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85725</xdr:colOff>
      <xdr:row>30</xdr:row>
      <xdr:rowOff>238125</xdr:rowOff>
    </xdr:to>
    <xdr:sp macro="" textlink="">
      <xdr:nvSpPr>
        <xdr:cNvPr id="884" name="Text Box 10">
          <a:extLst>
            <a:ext uri="{FF2B5EF4-FFF2-40B4-BE49-F238E27FC236}">
              <a16:creationId xmlns="" xmlns:a16="http://schemas.microsoft.com/office/drawing/2014/main" id="{00000000-0008-0000-0200-000074030000}"/>
            </a:ext>
          </a:extLst>
        </xdr:cNvPr>
        <xdr:cNvSpPr txBox="1">
          <a:spLocks noChangeArrowheads="1"/>
        </xdr:cNvSpPr>
      </xdr:nvSpPr>
      <xdr:spPr bwMode="auto">
        <a:xfrm>
          <a:off x="5353050" y="419862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85725</xdr:colOff>
      <xdr:row>30</xdr:row>
      <xdr:rowOff>238125</xdr:rowOff>
    </xdr:to>
    <xdr:sp macro="" textlink="">
      <xdr:nvSpPr>
        <xdr:cNvPr id="885" name="Text Box 11">
          <a:extLst>
            <a:ext uri="{FF2B5EF4-FFF2-40B4-BE49-F238E27FC236}">
              <a16:creationId xmlns="" xmlns:a16="http://schemas.microsoft.com/office/drawing/2014/main" id="{00000000-0008-0000-0200-000075030000}"/>
            </a:ext>
          </a:extLst>
        </xdr:cNvPr>
        <xdr:cNvSpPr txBox="1">
          <a:spLocks noChangeArrowheads="1"/>
        </xdr:cNvSpPr>
      </xdr:nvSpPr>
      <xdr:spPr bwMode="auto">
        <a:xfrm>
          <a:off x="5353050" y="419862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85725</xdr:colOff>
      <xdr:row>30</xdr:row>
      <xdr:rowOff>238125</xdr:rowOff>
    </xdr:to>
    <xdr:sp macro="" textlink="">
      <xdr:nvSpPr>
        <xdr:cNvPr id="886" name="Text Box 12">
          <a:extLst>
            <a:ext uri="{FF2B5EF4-FFF2-40B4-BE49-F238E27FC236}">
              <a16:creationId xmlns="" xmlns:a16="http://schemas.microsoft.com/office/drawing/2014/main" id="{00000000-0008-0000-0200-000076030000}"/>
            </a:ext>
          </a:extLst>
        </xdr:cNvPr>
        <xdr:cNvSpPr txBox="1">
          <a:spLocks noChangeArrowheads="1"/>
        </xdr:cNvSpPr>
      </xdr:nvSpPr>
      <xdr:spPr bwMode="auto">
        <a:xfrm>
          <a:off x="5353050" y="419862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85725</xdr:colOff>
      <xdr:row>30</xdr:row>
      <xdr:rowOff>238125</xdr:rowOff>
    </xdr:to>
    <xdr:sp macro="" textlink="">
      <xdr:nvSpPr>
        <xdr:cNvPr id="887" name="Text Box 10">
          <a:extLst>
            <a:ext uri="{FF2B5EF4-FFF2-40B4-BE49-F238E27FC236}">
              <a16:creationId xmlns="" xmlns:a16="http://schemas.microsoft.com/office/drawing/2014/main" id="{00000000-0008-0000-0200-000077030000}"/>
            </a:ext>
          </a:extLst>
        </xdr:cNvPr>
        <xdr:cNvSpPr txBox="1">
          <a:spLocks noChangeArrowheads="1"/>
        </xdr:cNvSpPr>
      </xdr:nvSpPr>
      <xdr:spPr bwMode="auto">
        <a:xfrm>
          <a:off x="5353050" y="419862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85725</xdr:colOff>
      <xdr:row>30</xdr:row>
      <xdr:rowOff>238125</xdr:rowOff>
    </xdr:to>
    <xdr:sp macro="" textlink="">
      <xdr:nvSpPr>
        <xdr:cNvPr id="888" name="Text Box 11">
          <a:extLst>
            <a:ext uri="{FF2B5EF4-FFF2-40B4-BE49-F238E27FC236}">
              <a16:creationId xmlns="" xmlns:a16="http://schemas.microsoft.com/office/drawing/2014/main" id="{00000000-0008-0000-0200-000078030000}"/>
            </a:ext>
          </a:extLst>
        </xdr:cNvPr>
        <xdr:cNvSpPr txBox="1">
          <a:spLocks noChangeArrowheads="1"/>
        </xdr:cNvSpPr>
      </xdr:nvSpPr>
      <xdr:spPr bwMode="auto">
        <a:xfrm>
          <a:off x="5353050" y="419862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85725</xdr:colOff>
      <xdr:row>30</xdr:row>
      <xdr:rowOff>238125</xdr:rowOff>
    </xdr:to>
    <xdr:sp macro="" textlink="">
      <xdr:nvSpPr>
        <xdr:cNvPr id="889" name="Text Box 12">
          <a:extLst>
            <a:ext uri="{FF2B5EF4-FFF2-40B4-BE49-F238E27FC236}">
              <a16:creationId xmlns="" xmlns:a16="http://schemas.microsoft.com/office/drawing/2014/main" id="{00000000-0008-0000-0200-000079030000}"/>
            </a:ext>
          </a:extLst>
        </xdr:cNvPr>
        <xdr:cNvSpPr txBox="1">
          <a:spLocks noChangeArrowheads="1"/>
        </xdr:cNvSpPr>
      </xdr:nvSpPr>
      <xdr:spPr bwMode="auto">
        <a:xfrm>
          <a:off x="5353050" y="41986200"/>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890" name="Text Box 10">
          <a:extLst>
            <a:ext uri="{FF2B5EF4-FFF2-40B4-BE49-F238E27FC236}">
              <a16:creationId xmlns="" xmlns:a16="http://schemas.microsoft.com/office/drawing/2014/main" id="{00000000-0008-0000-0200-00007A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891" name="Text Box 11">
          <a:extLst>
            <a:ext uri="{FF2B5EF4-FFF2-40B4-BE49-F238E27FC236}">
              <a16:creationId xmlns="" xmlns:a16="http://schemas.microsoft.com/office/drawing/2014/main" id="{00000000-0008-0000-0200-00007B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892" name="Text Box 12">
          <a:extLst>
            <a:ext uri="{FF2B5EF4-FFF2-40B4-BE49-F238E27FC236}">
              <a16:creationId xmlns="" xmlns:a16="http://schemas.microsoft.com/office/drawing/2014/main" id="{00000000-0008-0000-0200-00007C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893" name="Text Box 10">
          <a:extLst>
            <a:ext uri="{FF2B5EF4-FFF2-40B4-BE49-F238E27FC236}">
              <a16:creationId xmlns="" xmlns:a16="http://schemas.microsoft.com/office/drawing/2014/main" id="{00000000-0008-0000-0200-00007D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894" name="Text Box 11">
          <a:extLst>
            <a:ext uri="{FF2B5EF4-FFF2-40B4-BE49-F238E27FC236}">
              <a16:creationId xmlns="" xmlns:a16="http://schemas.microsoft.com/office/drawing/2014/main" id="{00000000-0008-0000-0200-00007E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895" name="Text Box 12">
          <a:extLst>
            <a:ext uri="{FF2B5EF4-FFF2-40B4-BE49-F238E27FC236}">
              <a16:creationId xmlns="" xmlns:a16="http://schemas.microsoft.com/office/drawing/2014/main" id="{00000000-0008-0000-0200-00007F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896" name="Text Box 10">
          <a:extLst>
            <a:ext uri="{FF2B5EF4-FFF2-40B4-BE49-F238E27FC236}">
              <a16:creationId xmlns="" xmlns:a16="http://schemas.microsoft.com/office/drawing/2014/main" id="{00000000-0008-0000-0200-000080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897" name="Text Box 11">
          <a:extLst>
            <a:ext uri="{FF2B5EF4-FFF2-40B4-BE49-F238E27FC236}">
              <a16:creationId xmlns="" xmlns:a16="http://schemas.microsoft.com/office/drawing/2014/main" id="{00000000-0008-0000-0200-000081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898" name="Text Box 12">
          <a:extLst>
            <a:ext uri="{FF2B5EF4-FFF2-40B4-BE49-F238E27FC236}">
              <a16:creationId xmlns="" xmlns:a16="http://schemas.microsoft.com/office/drawing/2014/main" id="{00000000-0008-0000-0200-000082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899" name="Text Box 10">
          <a:extLst>
            <a:ext uri="{FF2B5EF4-FFF2-40B4-BE49-F238E27FC236}">
              <a16:creationId xmlns="" xmlns:a16="http://schemas.microsoft.com/office/drawing/2014/main" id="{00000000-0008-0000-0200-000083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900" name="Text Box 11">
          <a:extLst>
            <a:ext uri="{FF2B5EF4-FFF2-40B4-BE49-F238E27FC236}">
              <a16:creationId xmlns="" xmlns:a16="http://schemas.microsoft.com/office/drawing/2014/main" id="{00000000-0008-0000-0200-000084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901" name="Text Box 12">
          <a:extLst>
            <a:ext uri="{FF2B5EF4-FFF2-40B4-BE49-F238E27FC236}">
              <a16:creationId xmlns="" xmlns:a16="http://schemas.microsoft.com/office/drawing/2014/main" id="{00000000-0008-0000-0200-000085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902" name="Text Box 10">
          <a:extLst>
            <a:ext uri="{FF2B5EF4-FFF2-40B4-BE49-F238E27FC236}">
              <a16:creationId xmlns="" xmlns:a16="http://schemas.microsoft.com/office/drawing/2014/main" id="{00000000-0008-0000-0200-000086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903" name="Text Box 11">
          <a:extLst>
            <a:ext uri="{FF2B5EF4-FFF2-40B4-BE49-F238E27FC236}">
              <a16:creationId xmlns="" xmlns:a16="http://schemas.microsoft.com/office/drawing/2014/main" id="{00000000-0008-0000-0200-000087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904" name="Text Box 12">
          <a:extLst>
            <a:ext uri="{FF2B5EF4-FFF2-40B4-BE49-F238E27FC236}">
              <a16:creationId xmlns="" xmlns:a16="http://schemas.microsoft.com/office/drawing/2014/main" id="{00000000-0008-0000-0200-000088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905" name="Text Box 10">
          <a:extLst>
            <a:ext uri="{FF2B5EF4-FFF2-40B4-BE49-F238E27FC236}">
              <a16:creationId xmlns="" xmlns:a16="http://schemas.microsoft.com/office/drawing/2014/main" id="{00000000-0008-0000-0200-000089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906" name="Text Box 11">
          <a:extLst>
            <a:ext uri="{FF2B5EF4-FFF2-40B4-BE49-F238E27FC236}">
              <a16:creationId xmlns="" xmlns:a16="http://schemas.microsoft.com/office/drawing/2014/main" id="{00000000-0008-0000-0200-00008A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907" name="Text Box 12">
          <a:extLst>
            <a:ext uri="{FF2B5EF4-FFF2-40B4-BE49-F238E27FC236}">
              <a16:creationId xmlns="" xmlns:a16="http://schemas.microsoft.com/office/drawing/2014/main" id="{00000000-0008-0000-0200-00008B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908" name="Text Box 10">
          <a:extLst>
            <a:ext uri="{FF2B5EF4-FFF2-40B4-BE49-F238E27FC236}">
              <a16:creationId xmlns="" xmlns:a16="http://schemas.microsoft.com/office/drawing/2014/main" id="{00000000-0008-0000-0200-00008C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909" name="Text Box 11">
          <a:extLst>
            <a:ext uri="{FF2B5EF4-FFF2-40B4-BE49-F238E27FC236}">
              <a16:creationId xmlns="" xmlns:a16="http://schemas.microsoft.com/office/drawing/2014/main" id="{00000000-0008-0000-0200-00008D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910" name="Text Box 12">
          <a:extLst>
            <a:ext uri="{FF2B5EF4-FFF2-40B4-BE49-F238E27FC236}">
              <a16:creationId xmlns="" xmlns:a16="http://schemas.microsoft.com/office/drawing/2014/main" id="{00000000-0008-0000-0200-00008E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911" name="Text Box 10">
          <a:extLst>
            <a:ext uri="{FF2B5EF4-FFF2-40B4-BE49-F238E27FC236}">
              <a16:creationId xmlns="" xmlns:a16="http://schemas.microsoft.com/office/drawing/2014/main" id="{00000000-0008-0000-0200-00008F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912" name="Text Box 11">
          <a:extLst>
            <a:ext uri="{FF2B5EF4-FFF2-40B4-BE49-F238E27FC236}">
              <a16:creationId xmlns="" xmlns:a16="http://schemas.microsoft.com/office/drawing/2014/main" id="{00000000-0008-0000-0200-000090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913" name="Text Box 12">
          <a:extLst>
            <a:ext uri="{FF2B5EF4-FFF2-40B4-BE49-F238E27FC236}">
              <a16:creationId xmlns="" xmlns:a16="http://schemas.microsoft.com/office/drawing/2014/main" id="{00000000-0008-0000-0200-000091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914" name="Text Box 10">
          <a:extLst>
            <a:ext uri="{FF2B5EF4-FFF2-40B4-BE49-F238E27FC236}">
              <a16:creationId xmlns="" xmlns:a16="http://schemas.microsoft.com/office/drawing/2014/main" id="{00000000-0008-0000-0200-000092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915" name="Text Box 11">
          <a:extLst>
            <a:ext uri="{FF2B5EF4-FFF2-40B4-BE49-F238E27FC236}">
              <a16:creationId xmlns="" xmlns:a16="http://schemas.microsoft.com/office/drawing/2014/main" id="{00000000-0008-0000-0200-000093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916" name="Text Box 12">
          <a:extLst>
            <a:ext uri="{FF2B5EF4-FFF2-40B4-BE49-F238E27FC236}">
              <a16:creationId xmlns="" xmlns:a16="http://schemas.microsoft.com/office/drawing/2014/main" id="{00000000-0008-0000-0200-000094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917" name="Text Box 10">
          <a:extLst>
            <a:ext uri="{FF2B5EF4-FFF2-40B4-BE49-F238E27FC236}">
              <a16:creationId xmlns="" xmlns:a16="http://schemas.microsoft.com/office/drawing/2014/main" id="{00000000-0008-0000-0200-000095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918" name="Text Box 11">
          <a:extLst>
            <a:ext uri="{FF2B5EF4-FFF2-40B4-BE49-F238E27FC236}">
              <a16:creationId xmlns="" xmlns:a16="http://schemas.microsoft.com/office/drawing/2014/main" id="{00000000-0008-0000-0200-000096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919" name="Text Box 12">
          <a:extLst>
            <a:ext uri="{FF2B5EF4-FFF2-40B4-BE49-F238E27FC236}">
              <a16:creationId xmlns="" xmlns:a16="http://schemas.microsoft.com/office/drawing/2014/main" id="{00000000-0008-0000-0200-000097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920" name="Text Box 10">
          <a:extLst>
            <a:ext uri="{FF2B5EF4-FFF2-40B4-BE49-F238E27FC236}">
              <a16:creationId xmlns="" xmlns:a16="http://schemas.microsoft.com/office/drawing/2014/main" id="{00000000-0008-0000-0200-000098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921" name="Text Box 11">
          <a:extLst>
            <a:ext uri="{FF2B5EF4-FFF2-40B4-BE49-F238E27FC236}">
              <a16:creationId xmlns="" xmlns:a16="http://schemas.microsoft.com/office/drawing/2014/main" id="{00000000-0008-0000-0200-000099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922" name="Text Box 12">
          <a:extLst>
            <a:ext uri="{FF2B5EF4-FFF2-40B4-BE49-F238E27FC236}">
              <a16:creationId xmlns="" xmlns:a16="http://schemas.microsoft.com/office/drawing/2014/main" id="{00000000-0008-0000-0200-00009A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923" name="Text Box 10">
          <a:extLst>
            <a:ext uri="{FF2B5EF4-FFF2-40B4-BE49-F238E27FC236}">
              <a16:creationId xmlns="" xmlns:a16="http://schemas.microsoft.com/office/drawing/2014/main" id="{00000000-0008-0000-0200-00009B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924" name="Text Box 11">
          <a:extLst>
            <a:ext uri="{FF2B5EF4-FFF2-40B4-BE49-F238E27FC236}">
              <a16:creationId xmlns="" xmlns:a16="http://schemas.microsoft.com/office/drawing/2014/main" id="{00000000-0008-0000-0200-00009C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925" name="Text Box 12">
          <a:extLst>
            <a:ext uri="{FF2B5EF4-FFF2-40B4-BE49-F238E27FC236}">
              <a16:creationId xmlns="" xmlns:a16="http://schemas.microsoft.com/office/drawing/2014/main" id="{00000000-0008-0000-0200-00009D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926" name="Text Box 10">
          <a:extLst>
            <a:ext uri="{FF2B5EF4-FFF2-40B4-BE49-F238E27FC236}">
              <a16:creationId xmlns="" xmlns:a16="http://schemas.microsoft.com/office/drawing/2014/main" id="{00000000-0008-0000-0200-00009E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927" name="Text Box 11">
          <a:extLst>
            <a:ext uri="{FF2B5EF4-FFF2-40B4-BE49-F238E27FC236}">
              <a16:creationId xmlns="" xmlns:a16="http://schemas.microsoft.com/office/drawing/2014/main" id="{00000000-0008-0000-0200-00009F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928" name="Text Box 12">
          <a:extLst>
            <a:ext uri="{FF2B5EF4-FFF2-40B4-BE49-F238E27FC236}">
              <a16:creationId xmlns="" xmlns:a16="http://schemas.microsoft.com/office/drawing/2014/main" id="{00000000-0008-0000-0200-0000A0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929" name="Text Box 10">
          <a:extLst>
            <a:ext uri="{FF2B5EF4-FFF2-40B4-BE49-F238E27FC236}">
              <a16:creationId xmlns="" xmlns:a16="http://schemas.microsoft.com/office/drawing/2014/main" id="{00000000-0008-0000-0200-0000A1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930" name="Text Box 11">
          <a:extLst>
            <a:ext uri="{FF2B5EF4-FFF2-40B4-BE49-F238E27FC236}">
              <a16:creationId xmlns="" xmlns:a16="http://schemas.microsoft.com/office/drawing/2014/main" id="{00000000-0008-0000-0200-0000A2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931" name="Text Box 12">
          <a:extLst>
            <a:ext uri="{FF2B5EF4-FFF2-40B4-BE49-F238E27FC236}">
              <a16:creationId xmlns="" xmlns:a16="http://schemas.microsoft.com/office/drawing/2014/main" id="{00000000-0008-0000-0200-0000A3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932" name="Text Box 10">
          <a:extLst>
            <a:ext uri="{FF2B5EF4-FFF2-40B4-BE49-F238E27FC236}">
              <a16:creationId xmlns="" xmlns:a16="http://schemas.microsoft.com/office/drawing/2014/main" id="{00000000-0008-0000-0200-0000A4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933" name="Text Box 11">
          <a:extLst>
            <a:ext uri="{FF2B5EF4-FFF2-40B4-BE49-F238E27FC236}">
              <a16:creationId xmlns="" xmlns:a16="http://schemas.microsoft.com/office/drawing/2014/main" id="{00000000-0008-0000-0200-0000A5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934" name="Text Box 12">
          <a:extLst>
            <a:ext uri="{FF2B5EF4-FFF2-40B4-BE49-F238E27FC236}">
              <a16:creationId xmlns="" xmlns:a16="http://schemas.microsoft.com/office/drawing/2014/main" id="{00000000-0008-0000-0200-0000A6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935" name="Text Box 10">
          <a:extLst>
            <a:ext uri="{FF2B5EF4-FFF2-40B4-BE49-F238E27FC236}">
              <a16:creationId xmlns="" xmlns:a16="http://schemas.microsoft.com/office/drawing/2014/main" id="{00000000-0008-0000-0200-0000A7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936" name="Text Box 11">
          <a:extLst>
            <a:ext uri="{FF2B5EF4-FFF2-40B4-BE49-F238E27FC236}">
              <a16:creationId xmlns="" xmlns:a16="http://schemas.microsoft.com/office/drawing/2014/main" id="{00000000-0008-0000-0200-0000A8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937" name="Text Box 12">
          <a:extLst>
            <a:ext uri="{FF2B5EF4-FFF2-40B4-BE49-F238E27FC236}">
              <a16:creationId xmlns="" xmlns:a16="http://schemas.microsoft.com/office/drawing/2014/main" id="{00000000-0008-0000-0200-0000A9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938" name="Text Box 10">
          <a:extLst>
            <a:ext uri="{FF2B5EF4-FFF2-40B4-BE49-F238E27FC236}">
              <a16:creationId xmlns="" xmlns:a16="http://schemas.microsoft.com/office/drawing/2014/main" id="{00000000-0008-0000-0200-0000AA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939" name="Text Box 11">
          <a:extLst>
            <a:ext uri="{FF2B5EF4-FFF2-40B4-BE49-F238E27FC236}">
              <a16:creationId xmlns="" xmlns:a16="http://schemas.microsoft.com/office/drawing/2014/main" id="{00000000-0008-0000-0200-0000AB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940" name="Text Box 12">
          <a:extLst>
            <a:ext uri="{FF2B5EF4-FFF2-40B4-BE49-F238E27FC236}">
              <a16:creationId xmlns="" xmlns:a16="http://schemas.microsoft.com/office/drawing/2014/main" id="{00000000-0008-0000-0200-0000AC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941" name="Text Box 10">
          <a:extLst>
            <a:ext uri="{FF2B5EF4-FFF2-40B4-BE49-F238E27FC236}">
              <a16:creationId xmlns="" xmlns:a16="http://schemas.microsoft.com/office/drawing/2014/main" id="{00000000-0008-0000-0200-0000AD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942" name="Text Box 11">
          <a:extLst>
            <a:ext uri="{FF2B5EF4-FFF2-40B4-BE49-F238E27FC236}">
              <a16:creationId xmlns="" xmlns:a16="http://schemas.microsoft.com/office/drawing/2014/main" id="{00000000-0008-0000-0200-0000AE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943" name="Text Box 12">
          <a:extLst>
            <a:ext uri="{FF2B5EF4-FFF2-40B4-BE49-F238E27FC236}">
              <a16:creationId xmlns="" xmlns:a16="http://schemas.microsoft.com/office/drawing/2014/main" id="{00000000-0008-0000-0200-0000AF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944" name="Text Box 10">
          <a:extLst>
            <a:ext uri="{FF2B5EF4-FFF2-40B4-BE49-F238E27FC236}">
              <a16:creationId xmlns="" xmlns:a16="http://schemas.microsoft.com/office/drawing/2014/main" id="{00000000-0008-0000-0200-0000B0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945" name="Text Box 11">
          <a:extLst>
            <a:ext uri="{FF2B5EF4-FFF2-40B4-BE49-F238E27FC236}">
              <a16:creationId xmlns="" xmlns:a16="http://schemas.microsoft.com/office/drawing/2014/main" id="{00000000-0008-0000-0200-0000B1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946" name="Text Box 12">
          <a:extLst>
            <a:ext uri="{FF2B5EF4-FFF2-40B4-BE49-F238E27FC236}">
              <a16:creationId xmlns="" xmlns:a16="http://schemas.microsoft.com/office/drawing/2014/main" id="{00000000-0008-0000-0200-0000B2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947" name="Text Box 10">
          <a:extLst>
            <a:ext uri="{FF2B5EF4-FFF2-40B4-BE49-F238E27FC236}">
              <a16:creationId xmlns="" xmlns:a16="http://schemas.microsoft.com/office/drawing/2014/main" id="{00000000-0008-0000-0200-0000B3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948" name="Text Box 11">
          <a:extLst>
            <a:ext uri="{FF2B5EF4-FFF2-40B4-BE49-F238E27FC236}">
              <a16:creationId xmlns="" xmlns:a16="http://schemas.microsoft.com/office/drawing/2014/main" id="{00000000-0008-0000-0200-0000B4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949" name="Text Box 12">
          <a:extLst>
            <a:ext uri="{FF2B5EF4-FFF2-40B4-BE49-F238E27FC236}">
              <a16:creationId xmlns="" xmlns:a16="http://schemas.microsoft.com/office/drawing/2014/main" id="{00000000-0008-0000-0200-0000B5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950" name="Text Box 10">
          <a:extLst>
            <a:ext uri="{FF2B5EF4-FFF2-40B4-BE49-F238E27FC236}">
              <a16:creationId xmlns="" xmlns:a16="http://schemas.microsoft.com/office/drawing/2014/main" id="{00000000-0008-0000-0200-0000B6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951" name="Text Box 11">
          <a:extLst>
            <a:ext uri="{FF2B5EF4-FFF2-40B4-BE49-F238E27FC236}">
              <a16:creationId xmlns="" xmlns:a16="http://schemas.microsoft.com/office/drawing/2014/main" id="{00000000-0008-0000-0200-0000B7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952" name="Text Box 12">
          <a:extLst>
            <a:ext uri="{FF2B5EF4-FFF2-40B4-BE49-F238E27FC236}">
              <a16:creationId xmlns="" xmlns:a16="http://schemas.microsoft.com/office/drawing/2014/main" id="{00000000-0008-0000-0200-0000B8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953" name="Text Box 10">
          <a:extLst>
            <a:ext uri="{FF2B5EF4-FFF2-40B4-BE49-F238E27FC236}">
              <a16:creationId xmlns="" xmlns:a16="http://schemas.microsoft.com/office/drawing/2014/main" id="{00000000-0008-0000-0200-0000B9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954" name="Text Box 11">
          <a:extLst>
            <a:ext uri="{FF2B5EF4-FFF2-40B4-BE49-F238E27FC236}">
              <a16:creationId xmlns="" xmlns:a16="http://schemas.microsoft.com/office/drawing/2014/main" id="{00000000-0008-0000-0200-0000BA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955" name="Text Box 12">
          <a:extLst>
            <a:ext uri="{FF2B5EF4-FFF2-40B4-BE49-F238E27FC236}">
              <a16:creationId xmlns="" xmlns:a16="http://schemas.microsoft.com/office/drawing/2014/main" id="{00000000-0008-0000-0200-0000BB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956" name="Text Box 10">
          <a:extLst>
            <a:ext uri="{FF2B5EF4-FFF2-40B4-BE49-F238E27FC236}">
              <a16:creationId xmlns="" xmlns:a16="http://schemas.microsoft.com/office/drawing/2014/main" id="{00000000-0008-0000-0200-0000BC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957" name="Text Box 11">
          <a:extLst>
            <a:ext uri="{FF2B5EF4-FFF2-40B4-BE49-F238E27FC236}">
              <a16:creationId xmlns="" xmlns:a16="http://schemas.microsoft.com/office/drawing/2014/main" id="{00000000-0008-0000-0200-0000BD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958" name="Text Box 12">
          <a:extLst>
            <a:ext uri="{FF2B5EF4-FFF2-40B4-BE49-F238E27FC236}">
              <a16:creationId xmlns="" xmlns:a16="http://schemas.microsoft.com/office/drawing/2014/main" id="{00000000-0008-0000-0200-0000BE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959" name="Text Box 10">
          <a:extLst>
            <a:ext uri="{FF2B5EF4-FFF2-40B4-BE49-F238E27FC236}">
              <a16:creationId xmlns="" xmlns:a16="http://schemas.microsoft.com/office/drawing/2014/main" id="{00000000-0008-0000-0200-0000BF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960" name="Text Box 11">
          <a:extLst>
            <a:ext uri="{FF2B5EF4-FFF2-40B4-BE49-F238E27FC236}">
              <a16:creationId xmlns="" xmlns:a16="http://schemas.microsoft.com/office/drawing/2014/main" id="{00000000-0008-0000-0200-0000C0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961" name="Text Box 12">
          <a:extLst>
            <a:ext uri="{FF2B5EF4-FFF2-40B4-BE49-F238E27FC236}">
              <a16:creationId xmlns="" xmlns:a16="http://schemas.microsoft.com/office/drawing/2014/main" id="{00000000-0008-0000-0200-0000C1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962" name="Text Box 10">
          <a:extLst>
            <a:ext uri="{FF2B5EF4-FFF2-40B4-BE49-F238E27FC236}">
              <a16:creationId xmlns="" xmlns:a16="http://schemas.microsoft.com/office/drawing/2014/main" id="{00000000-0008-0000-0200-0000C2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963" name="Text Box 11">
          <a:extLst>
            <a:ext uri="{FF2B5EF4-FFF2-40B4-BE49-F238E27FC236}">
              <a16:creationId xmlns="" xmlns:a16="http://schemas.microsoft.com/office/drawing/2014/main" id="{00000000-0008-0000-0200-0000C3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964" name="Text Box 12">
          <a:extLst>
            <a:ext uri="{FF2B5EF4-FFF2-40B4-BE49-F238E27FC236}">
              <a16:creationId xmlns="" xmlns:a16="http://schemas.microsoft.com/office/drawing/2014/main" id="{00000000-0008-0000-0200-0000C4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965" name="Text Box 10">
          <a:extLst>
            <a:ext uri="{FF2B5EF4-FFF2-40B4-BE49-F238E27FC236}">
              <a16:creationId xmlns="" xmlns:a16="http://schemas.microsoft.com/office/drawing/2014/main" id="{00000000-0008-0000-0200-0000C5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966" name="Text Box 11">
          <a:extLst>
            <a:ext uri="{FF2B5EF4-FFF2-40B4-BE49-F238E27FC236}">
              <a16:creationId xmlns="" xmlns:a16="http://schemas.microsoft.com/office/drawing/2014/main" id="{00000000-0008-0000-0200-0000C6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967" name="Text Box 12">
          <a:extLst>
            <a:ext uri="{FF2B5EF4-FFF2-40B4-BE49-F238E27FC236}">
              <a16:creationId xmlns="" xmlns:a16="http://schemas.microsoft.com/office/drawing/2014/main" id="{00000000-0008-0000-0200-0000C7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968" name="Text Box 10">
          <a:extLst>
            <a:ext uri="{FF2B5EF4-FFF2-40B4-BE49-F238E27FC236}">
              <a16:creationId xmlns="" xmlns:a16="http://schemas.microsoft.com/office/drawing/2014/main" id="{00000000-0008-0000-0200-0000C8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969" name="Text Box 11">
          <a:extLst>
            <a:ext uri="{FF2B5EF4-FFF2-40B4-BE49-F238E27FC236}">
              <a16:creationId xmlns="" xmlns:a16="http://schemas.microsoft.com/office/drawing/2014/main" id="{00000000-0008-0000-0200-0000C9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970" name="Text Box 12">
          <a:extLst>
            <a:ext uri="{FF2B5EF4-FFF2-40B4-BE49-F238E27FC236}">
              <a16:creationId xmlns="" xmlns:a16="http://schemas.microsoft.com/office/drawing/2014/main" id="{00000000-0008-0000-0200-0000CA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971" name="Text Box 10">
          <a:extLst>
            <a:ext uri="{FF2B5EF4-FFF2-40B4-BE49-F238E27FC236}">
              <a16:creationId xmlns="" xmlns:a16="http://schemas.microsoft.com/office/drawing/2014/main" id="{00000000-0008-0000-0200-0000CB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972" name="Text Box 11">
          <a:extLst>
            <a:ext uri="{FF2B5EF4-FFF2-40B4-BE49-F238E27FC236}">
              <a16:creationId xmlns="" xmlns:a16="http://schemas.microsoft.com/office/drawing/2014/main" id="{00000000-0008-0000-0200-0000CC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973" name="Text Box 12">
          <a:extLst>
            <a:ext uri="{FF2B5EF4-FFF2-40B4-BE49-F238E27FC236}">
              <a16:creationId xmlns="" xmlns:a16="http://schemas.microsoft.com/office/drawing/2014/main" id="{00000000-0008-0000-0200-0000CD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974" name="Text Box 10">
          <a:extLst>
            <a:ext uri="{FF2B5EF4-FFF2-40B4-BE49-F238E27FC236}">
              <a16:creationId xmlns="" xmlns:a16="http://schemas.microsoft.com/office/drawing/2014/main" id="{00000000-0008-0000-0200-0000CE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975" name="Text Box 11">
          <a:extLst>
            <a:ext uri="{FF2B5EF4-FFF2-40B4-BE49-F238E27FC236}">
              <a16:creationId xmlns="" xmlns:a16="http://schemas.microsoft.com/office/drawing/2014/main" id="{00000000-0008-0000-0200-0000CF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976" name="Text Box 12">
          <a:extLst>
            <a:ext uri="{FF2B5EF4-FFF2-40B4-BE49-F238E27FC236}">
              <a16:creationId xmlns="" xmlns:a16="http://schemas.microsoft.com/office/drawing/2014/main" id="{00000000-0008-0000-0200-0000D0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977" name="Text Box 10">
          <a:extLst>
            <a:ext uri="{FF2B5EF4-FFF2-40B4-BE49-F238E27FC236}">
              <a16:creationId xmlns="" xmlns:a16="http://schemas.microsoft.com/office/drawing/2014/main" id="{00000000-0008-0000-0200-0000D1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978" name="Text Box 11">
          <a:extLst>
            <a:ext uri="{FF2B5EF4-FFF2-40B4-BE49-F238E27FC236}">
              <a16:creationId xmlns="" xmlns:a16="http://schemas.microsoft.com/office/drawing/2014/main" id="{00000000-0008-0000-0200-0000D2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979" name="Text Box 12">
          <a:extLst>
            <a:ext uri="{FF2B5EF4-FFF2-40B4-BE49-F238E27FC236}">
              <a16:creationId xmlns="" xmlns:a16="http://schemas.microsoft.com/office/drawing/2014/main" id="{00000000-0008-0000-0200-0000D3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980" name="Text Box 10">
          <a:extLst>
            <a:ext uri="{FF2B5EF4-FFF2-40B4-BE49-F238E27FC236}">
              <a16:creationId xmlns="" xmlns:a16="http://schemas.microsoft.com/office/drawing/2014/main" id="{00000000-0008-0000-0200-0000D4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981" name="Text Box 11">
          <a:extLst>
            <a:ext uri="{FF2B5EF4-FFF2-40B4-BE49-F238E27FC236}">
              <a16:creationId xmlns="" xmlns:a16="http://schemas.microsoft.com/office/drawing/2014/main" id="{00000000-0008-0000-0200-0000D5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982" name="Text Box 12">
          <a:extLst>
            <a:ext uri="{FF2B5EF4-FFF2-40B4-BE49-F238E27FC236}">
              <a16:creationId xmlns="" xmlns:a16="http://schemas.microsoft.com/office/drawing/2014/main" id="{00000000-0008-0000-0200-0000D6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983" name="Text Box 10">
          <a:extLst>
            <a:ext uri="{FF2B5EF4-FFF2-40B4-BE49-F238E27FC236}">
              <a16:creationId xmlns="" xmlns:a16="http://schemas.microsoft.com/office/drawing/2014/main" id="{00000000-0008-0000-0200-0000D7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984" name="Text Box 11">
          <a:extLst>
            <a:ext uri="{FF2B5EF4-FFF2-40B4-BE49-F238E27FC236}">
              <a16:creationId xmlns="" xmlns:a16="http://schemas.microsoft.com/office/drawing/2014/main" id="{00000000-0008-0000-0200-0000D8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985" name="Text Box 12">
          <a:extLst>
            <a:ext uri="{FF2B5EF4-FFF2-40B4-BE49-F238E27FC236}">
              <a16:creationId xmlns="" xmlns:a16="http://schemas.microsoft.com/office/drawing/2014/main" id="{00000000-0008-0000-0200-0000D9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986" name="Text Box 10">
          <a:extLst>
            <a:ext uri="{FF2B5EF4-FFF2-40B4-BE49-F238E27FC236}">
              <a16:creationId xmlns="" xmlns:a16="http://schemas.microsoft.com/office/drawing/2014/main" id="{00000000-0008-0000-0200-0000DA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987" name="Text Box 11">
          <a:extLst>
            <a:ext uri="{FF2B5EF4-FFF2-40B4-BE49-F238E27FC236}">
              <a16:creationId xmlns="" xmlns:a16="http://schemas.microsoft.com/office/drawing/2014/main" id="{00000000-0008-0000-0200-0000DB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988" name="Text Box 12">
          <a:extLst>
            <a:ext uri="{FF2B5EF4-FFF2-40B4-BE49-F238E27FC236}">
              <a16:creationId xmlns="" xmlns:a16="http://schemas.microsoft.com/office/drawing/2014/main" id="{00000000-0008-0000-0200-0000DC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989" name="Text Box 10">
          <a:extLst>
            <a:ext uri="{FF2B5EF4-FFF2-40B4-BE49-F238E27FC236}">
              <a16:creationId xmlns="" xmlns:a16="http://schemas.microsoft.com/office/drawing/2014/main" id="{00000000-0008-0000-0200-0000DD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990" name="Text Box 11">
          <a:extLst>
            <a:ext uri="{FF2B5EF4-FFF2-40B4-BE49-F238E27FC236}">
              <a16:creationId xmlns="" xmlns:a16="http://schemas.microsoft.com/office/drawing/2014/main" id="{00000000-0008-0000-0200-0000DE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991" name="Text Box 12">
          <a:extLst>
            <a:ext uri="{FF2B5EF4-FFF2-40B4-BE49-F238E27FC236}">
              <a16:creationId xmlns="" xmlns:a16="http://schemas.microsoft.com/office/drawing/2014/main" id="{00000000-0008-0000-0200-0000DF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992" name="Text Box 10">
          <a:extLst>
            <a:ext uri="{FF2B5EF4-FFF2-40B4-BE49-F238E27FC236}">
              <a16:creationId xmlns="" xmlns:a16="http://schemas.microsoft.com/office/drawing/2014/main" id="{00000000-0008-0000-0200-0000E0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993" name="Text Box 11">
          <a:extLst>
            <a:ext uri="{FF2B5EF4-FFF2-40B4-BE49-F238E27FC236}">
              <a16:creationId xmlns="" xmlns:a16="http://schemas.microsoft.com/office/drawing/2014/main" id="{00000000-0008-0000-0200-0000E1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994" name="Text Box 12">
          <a:extLst>
            <a:ext uri="{FF2B5EF4-FFF2-40B4-BE49-F238E27FC236}">
              <a16:creationId xmlns="" xmlns:a16="http://schemas.microsoft.com/office/drawing/2014/main" id="{00000000-0008-0000-0200-0000E2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995" name="Text Box 10">
          <a:extLst>
            <a:ext uri="{FF2B5EF4-FFF2-40B4-BE49-F238E27FC236}">
              <a16:creationId xmlns="" xmlns:a16="http://schemas.microsoft.com/office/drawing/2014/main" id="{00000000-0008-0000-0200-0000E3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996" name="Text Box 11">
          <a:extLst>
            <a:ext uri="{FF2B5EF4-FFF2-40B4-BE49-F238E27FC236}">
              <a16:creationId xmlns="" xmlns:a16="http://schemas.microsoft.com/office/drawing/2014/main" id="{00000000-0008-0000-0200-0000E4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997" name="Text Box 12">
          <a:extLst>
            <a:ext uri="{FF2B5EF4-FFF2-40B4-BE49-F238E27FC236}">
              <a16:creationId xmlns="" xmlns:a16="http://schemas.microsoft.com/office/drawing/2014/main" id="{00000000-0008-0000-0200-0000E5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998" name="Text Box 10">
          <a:extLst>
            <a:ext uri="{FF2B5EF4-FFF2-40B4-BE49-F238E27FC236}">
              <a16:creationId xmlns="" xmlns:a16="http://schemas.microsoft.com/office/drawing/2014/main" id="{00000000-0008-0000-0200-0000E6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999" name="Text Box 11">
          <a:extLst>
            <a:ext uri="{FF2B5EF4-FFF2-40B4-BE49-F238E27FC236}">
              <a16:creationId xmlns="" xmlns:a16="http://schemas.microsoft.com/office/drawing/2014/main" id="{00000000-0008-0000-0200-0000E7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1000" name="Text Box 12">
          <a:extLst>
            <a:ext uri="{FF2B5EF4-FFF2-40B4-BE49-F238E27FC236}">
              <a16:creationId xmlns="" xmlns:a16="http://schemas.microsoft.com/office/drawing/2014/main" id="{00000000-0008-0000-0200-0000E8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1001" name="Text Box 10">
          <a:extLst>
            <a:ext uri="{FF2B5EF4-FFF2-40B4-BE49-F238E27FC236}">
              <a16:creationId xmlns="" xmlns:a16="http://schemas.microsoft.com/office/drawing/2014/main" id="{00000000-0008-0000-0200-0000E9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1002" name="Text Box 11">
          <a:extLst>
            <a:ext uri="{FF2B5EF4-FFF2-40B4-BE49-F238E27FC236}">
              <a16:creationId xmlns="" xmlns:a16="http://schemas.microsoft.com/office/drawing/2014/main" id="{00000000-0008-0000-0200-0000EA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1003" name="Text Box 12">
          <a:extLst>
            <a:ext uri="{FF2B5EF4-FFF2-40B4-BE49-F238E27FC236}">
              <a16:creationId xmlns="" xmlns:a16="http://schemas.microsoft.com/office/drawing/2014/main" id="{00000000-0008-0000-0200-0000EB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1004" name="Text Box 10">
          <a:extLst>
            <a:ext uri="{FF2B5EF4-FFF2-40B4-BE49-F238E27FC236}">
              <a16:creationId xmlns="" xmlns:a16="http://schemas.microsoft.com/office/drawing/2014/main" id="{00000000-0008-0000-0200-0000EC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1005" name="Text Box 11">
          <a:extLst>
            <a:ext uri="{FF2B5EF4-FFF2-40B4-BE49-F238E27FC236}">
              <a16:creationId xmlns="" xmlns:a16="http://schemas.microsoft.com/office/drawing/2014/main" id="{00000000-0008-0000-0200-0000ED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1006" name="Text Box 12">
          <a:extLst>
            <a:ext uri="{FF2B5EF4-FFF2-40B4-BE49-F238E27FC236}">
              <a16:creationId xmlns="" xmlns:a16="http://schemas.microsoft.com/office/drawing/2014/main" id="{00000000-0008-0000-0200-0000EE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1007" name="Text Box 10">
          <a:extLst>
            <a:ext uri="{FF2B5EF4-FFF2-40B4-BE49-F238E27FC236}">
              <a16:creationId xmlns="" xmlns:a16="http://schemas.microsoft.com/office/drawing/2014/main" id="{00000000-0008-0000-0200-0000EF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1008" name="Text Box 11">
          <a:extLst>
            <a:ext uri="{FF2B5EF4-FFF2-40B4-BE49-F238E27FC236}">
              <a16:creationId xmlns="" xmlns:a16="http://schemas.microsoft.com/office/drawing/2014/main" id="{00000000-0008-0000-0200-0000F0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1009" name="Text Box 12">
          <a:extLst>
            <a:ext uri="{FF2B5EF4-FFF2-40B4-BE49-F238E27FC236}">
              <a16:creationId xmlns="" xmlns:a16="http://schemas.microsoft.com/office/drawing/2014/main" id="{00000000-0008-0000-0200-0000F1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1010" name="Text Box 10">
          <a:extLst>
            <a:ext uri="{FF2B5EF4-FFF2-40B4-BE49-F238E27FC236}">
              <a16:creationId xmlns="" xmlns:a16="http://schemas.microsoft.com/office/drawing/2014/main" id="{00000000-0008-0000-0200-0000F2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1011" name="Text Box 11">
          <a:extLst>
            <a:ext uri="{FF2B5EF4-FFF2-40B4-BE49-F238E27FC236}">
              <a16:creationId xmlns="" xmlns:a16="http://schemas.microsoft.com/office/drawing/2014/main" id="{00000000-0008-0000-0200-0000F3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1012" name="Text Box 12">
          <a:extLst>
            <a:ext uri="{FF2B5EF4-FFF2-40B4-BE49-F238E27FC236}">
              <a16:creationId xmlns="" xmlns:a16="http://schemas.microsoft.com/office/drawing/2014/main" id="{00000000-0008-0000-0200-0000F4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1013" name="Text Box 10">
          <a:extLst>
            <a:ext uri="{FF2B5EF4-FFF2-40B4-BE49-F238E27FC236}">
              <a16:creationId xmlns="" xmlns:a16="http://schemas.microsoft.com/office/drawing/2014/main" id="{00000000-0008-0000-0200-0000F5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1014" name="Text Box 11">
          <a:extLst>
            <a:ext uri="{FF2B5EF4-FFF2-40B4-BE49-F238E27FC236}">
              <a16:creationId xmlns="" xmlns:a16="http://schemas.microsoft.com/office/drawing/2014/main" id="{00000000-0008-0000-0200-0000F6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1015" name="Text Box 12">
          <a:extLst>
            <a:ext uri="{FF2B5EF4-FFF2-40B4-BE49-F238E27FC236}">
              <a16:creationId xmlns="" xmlns:a16="http://schemas.microsoft.com/office/drawing/2014/main" id="{00000000-0008-0000-0200-0000F7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1016" name="Text Box 10">
          <a:extLst>
            <a:ext uri="{FF2B5EF4-FFF2-40B4-BE49-F238E27FC236}">
              <a16:creationId xmlns="" xmlns:a16="http://schemas.microsoft.com/office/drawing/2014/main" id="{00000000-0008-0000-0200-0000F8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1017" name="Text Box 11">
          <a:extLst>
            <a:ext uri="{FF2B5EF4-FFF2-40B4-BE49-F238E27FC236}">
              <a16:creationId xmlns="" xmlns:a16="http://schemas.microsoft.com/office/drawing/2014/main" id="{00000000-0008-0000-0200-0000F9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1018" name="Text Box 12">
          <a:extLst>
            <a:ext uri="{FF2B5EF4-FFF2-40B4-BE49-F238E27FC236}">
              <a16:creationId xmlns="" xmlns:a16="http://schemas.microsoft.com/office/drawing/2014/main" id="{00000000-0008-0000-0200-0000FA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1019" name="Text Box 10">
          <a:extLst>
            <a:ext uri="{FF2B5EF4-FFF2-40B4-BE49-F238E27FC236}">
              <a16:creationId xmlns="" xmlns:a16="http://schemas.microsoft.com/office/drawing/2014/main" id="{00000000-0008-0000-0200-0000FB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1020" name="Text Box 11">
          <a:extLst>
            <a:ext uri="{FF2B5EF4-FFF2-40B4-BE49-F238E27FC236}">
              <a16:creationId xmlns="" xmlns:a16="http://schemas.microsoft.com/office/drawing/2014/main" id="{00000000-0008-0000-0200-0000FC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1021" name="Text Box 12">
          <a:extLst>
            <a:ext uri="{FF2B5EF4-FFF2-40B4-BE49-F238E27FC236}">
              <a16:creationId xmlns="" xmlns:a16="http://schemas.microsoft.com/office/drawing/2014/main" id="{00000000-0008-0000-0200-0000FD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1022" name="Text Box 10">
          <a:extLst>
            <a:ext uri="{FF2B5EF4-FFF2-40B4-BE49-F238E27FC236}">
              <a16:creationId xmlns="" xmlns:a16="http://schemas.microsoft.com/office/drawing/2014/main" id="{00000000-0008-0000-0200-0000FE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1023" name="Text Box 11">
          <a:extLst>
            <a:ext uri="{FF2B5EF4-FFF2-40B4-BE49-F238E27FC236}">
              <a16:creationId xmlns="" xmlns:a16="http://schemas.microsoft.com/office/drawing/2014/main" id="{00000000-0008-0000-0200-0000FF03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1024" name="Text Box 12">
          <a:extLst>
            <a:ext uri="{FF2B5EF4-FFF2-40B4-BE49-F238E27FC236}">
              <a16:creationId xmlns="" xmlns:a16="http://schemas.microsoft.com/office/drawing/2014/main" id="{00000000-0008-0000-0200-00000004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1025" name="Text Box 10">
          <a:extLst>
            <a:ext uri="{FF2B5EF4-FFF2-40B4-BE49-F238E27FC236}">
              <a16:creationId xmlns="" xmlns:a16="http://schemas.microsoft.com/office/drawing/2014/main" id="{00000000-0008-0000-0200-00000104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1026" name="Text Box 11">
          <a:extLst>
            <a:ext uri="{FF2B5EF4-FFF2-40B4-BE49-F238E27FC236}">
              <a16:creationId xmlns="" xmlns:a16="http://schemas.microsoft.com/office/drawing/2014/main" id="{00000000-0008-0000-0200-00000204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1027" name="Text Box 12">
          <a:extLst>
            <a:ext uri="{FF2B5EF4-FFF2-40B4-BE49-F238E27FC236}">
              <a16:creationId xmlns="" xmlns:a16="http://schemas.microsoft.com/office/drawing/2014/main" id="{00000000-0008-0000-0200-00000304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1028" name="Text Box 10">
          <a:extLst>
            <a:ext uri="{FF2B5EF4-FFF2-40B4-BE49-F238E27FC236}">
              <a16:creationId xmlns="" xmlns:a16="http://schemas.microsoft.com/office/drawing/2014/main" id="{00000000-0008-0000-0200-00000404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1029" name="Text Box 11">
          <a:extLst>
            <a:ext uri="{FF2B5EF4-FFF2-40B4-BE49-F238E27FC236}">
              <a16:creationId xmlns="" xmlns:a16="http://schemas.microsoft.com/office/drawing/2014/main" id="{00000000-0008-0000-0200-00000504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1030" name="Text Box 12">
          <a:extLst>
            <a:ext uri="{FF2B5EF4-FFF2-40B4-BE49-F238E27FC236}">
              <a16:creationId xmlns="" xmlns:a16="http://schemas.microsoft.com/office/drawing/2014/main" id="{00000000-0008-0000-0200-00000604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1031" name="Text Box 10">
          <a:extLst>
            <a:ext uri="{FF2B5EF4-FFF2-40B4-BE49-F238E27FC236}">
              <a16:creationId xmlns="" xmlns:a16="http://schemas.microsoft.com/office/drawing/2014/main" id="{00000000-0008-0000-0200-00000704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1032" name="Text Box 11">
          <a:extLst>
            <a:ext uri="{FF2B5EF4-FFF2-40B4-BE49-F238E27FC236}">
              <a16:creationId xmlns="" xmlns:a16="http://schemas.microsoft.com/office/drawing/2014/main" id="{00000000-0008-0000-0200-00000804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1033" name="Text Box 12">
          <a:extLst>
            <a:ext uri="{FF2B5EF4-FFF2-40B4-BE49-F238E27FC236}">
              <a16:creationId xmlns="" xmlns:a16="http://schemas.microsoft.com/office/drawing/2014/main" id="{00000000-0008-0000-0200-00000904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1034" name="Text Box 10">
          <a:extLst>
            <a:ext uri="{FF2B5EF4-FFF2-40B4-BE49-F238E27FC236}">
              <a16:creationId xmlns="" xmlns:a16="http://schemas.microsoft.com/office/drawing/2014/main" id="{00000000-0008-0000-0200-00000A04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1035" name="Text Box 11">
          <a:extLst>
            <a:ext uri="{FF2B5EF4-FFF2-40B4-BE49-F238E27FC236}">
              <a16:creationId xmlns="" xmlns:a16="http://schemas.microsoft.com/office/drawing/2014/main" id="{00000000-0008-0000-0200-00000B04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1036" name="Text Box 12">
          <a:extLst>
            <a:ext uri="{FF2B5EF4-FFF2-40B4-BE49-F238E27FC236}">
              <a16:creationId xmlns="" xmlns:a16="http://schemas.microsoft.com/office/drawing/2014/main" id="{00000000-0008-0000-0200-00000C04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1037" name="Text Box 10">
          <a:extLst>
            <a:ext uri="{FF2B5EF4-FFF2-40B4-BE49-F238E27FC236}">
              <a16:creationId xmlns="" xmlns:a16="http://schemas.microsoft.com/office/drawing/2014/main" id="{00000000-0008-0000-0200-00000D04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1038" name="Text Box 11">
          <a:extLst>
            <a:ext uri="{FF2B5EF4-FFF2-40B4-BE49-F238E27FC236}">
              <a16:creationId xmlns="" xmlns:a16="http://schemas.microsoft.com/office/drawing/2014/main" id="{00000000-0008-0000-0200-00000E04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1039" name="Text Box 12">
          <a:extLst>
            <a:ext uri="{FF2B5EF4-FFF2-40B4-BE49-F238E27FC236}">
              <a16:creationId xmlns="" xmlns:a16="http://schemas.microsoft.com/office/drawing/2014/main" id="{00000000-0008-0000-0200-00000F04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1040" name="Text Box 10">
          <a:extLst>
            <a:ext uri="{FF2B5EF4-FFF2-40B4-BE49-F238E27FC236}">
              <a16:creationId xmlns="" xmlns:a16="http://schemas.microsoft.com/office/drawing/2014/main" id="{00000000-0008-0000-0200-00001004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1041" name="Text Box 11">
          <a:extLst>
            <a:ext uri="{FF2B5EF4-FFF2-40B4-BE49-F238E27FC236}">
              <a16:creationId xmlns="" xmlns:a16="http://schemas.microsoft.com/office/drawing/2014/main" id="{00000000-0008-0000-0200-00001104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1042" name="Text Box 12">
          <a:extLst>
            <a:ext uri="{FF2B5EF4-FFF2-40B4-BE49-F238E27FC236}">
              <a16:creationId xmlns="" xmlns:a16="http://schemas.microsoft.com/office/drawing/2014/main" id="{00000000-0008-0000-0200-00001204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1043" name="Text Box 10">
          <a:extLst>
            <a:ext uri="{FF2B5EF4-FFF2-40B4-BE49-F238E27FC236}">
              <a16:creationId xmlns="" xmlns:a16="http://schemas.microsoft.com/office/drawing/2014/main" id="{00000000-0008-0000-0200-00001304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1044" name="Text Box 11">
          <a:extLst>
            <a:ext uri="{FF2B5EF4-FFF2-40B4-BE49-F238E27FC236}">
              <a16:creationId xmlns="" xmlns:a16="http://schemas.microsoft.com/office/drawing/2014/main" id="{00000000-0008-0000-0200-00001404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1045" name="Text Box 12">
          <a:extLst>
            <a:ext uri="{FF2B5EF4-FFF2-40B4-BE49-F238E27FC236}">
              <a16:creationId xmlns="" xmlns:a16="http://schemas.microsoft.com/office/drawing/2014/main" id="{00000000-0008-0000-0200-00001504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1046" name="Text Box 10">
          <a:extLst>
            <a:ext uri="{FF2B5EF4-FFF2-40B4-BE49-F238E27FC236}">
              <a16:creationId xmlns="" xmlns:a16="http://schemas.microsoft.com/office/drawing/2014/main" id="{00000000-0008-0000-0200-00001604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1047" name="Text Box 11">
          <a:extLst>
            <a:ext uri="{FF2B5EF4-FFF2-40B4-BE49-F238E27FC236}">
              <a16:creationId xmlns="" xmlns:a16="http://schemas.microsoft.com/office/drawing/2014/main" id="{00000000-0008-0000-0200-00001704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1048" name="Text Box 12">
          <a:extLst>
            <a:ext uri="{FF2B5EF4-FFF2-40B4-BE49-F238E27FC236}">
              <a16:creationId xmlns="" xmlns:a16="http://schemas.microsoft.com/office/drawing/2014/main" id="{00000000-0008-0000-0200-00001804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1049" name="Text Box 10">
          <a:extLst>
            <a:ext uri="{FF2B5EF4-FFF2-40B4-BE49-F238E27FC236}">
              <a16:creationId xmlns="" xmlns:a16="http://schemas.microsoft.com/office/drawing/2014/main" id="{00000000-0008-0000-0200-00001904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1050" name="Text Box 11">
          <a:extLst>
            <a:ext uri="{FF2B5EF4-FFF2-40B4-BE49-F238E27FC236}">
              <a16:creationId xmlns="" xmlns:a16="http://schemas.microsoft.com/office/drawing/2014/main" id="{00000000-0008-0000-0200-00001A04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1051" name="Text Box 12">
          <a:extLst>
            <a:ext uri="{FF2B5EF4-FFF2-40B4-BE49-F238E27FC236}">
              <a16:creationId xmlns="" xmlns:a16="http://schemas.microsoft.com/office/drawing/2014/main" id="{00000000-0008-0000-0200-00001B04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1052" name="Text Box 10">
          <a:extLst>
            <a:ext uri="{FF2B5EF4-FFF2-40B4-BE49-F238E27FC236}">
              <a16:creationId xmlns="" xmlns:a16="http://schemas.microsoft.com/office/drawing/2014/main" id="{00000000-0008-0000-0200-00001C04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1053" name="Text Box 11">
          <a:extLst>
            <a:ext uri="{FF2B5EF4-FFF2-40B4-BE49-F238E27FC236}">
              <a16:creationId xmlns="" xmlns:a16="http://schemas.microsoft.com/office/drawing/2014/main" id="{00000000-0008-0000-0200-00001D04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1054" name="Text Box 12">
          <a:extLst>
            <a:ext uri="{FF2B5EF4-FFF2-40B4-BE49-F238E27FC236}">
              <a16:creationId xmlns="" xmlns:a16="http://schemas.microsoft.com/office/drawing/2014/main" id="{00000000-0008-0000-0200-00001E04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1055" name="Text Box 10">
          <a:extLst>
            <a:ext uri="{FF2B5EF4-FFF2-40B4-BE49-F238E27FC236}">
              <a16:creationId xmlns="" xmlns:a16="http://schemas.microsoft.com/office/drawing/2014/main" id="{00000000-0008-0000-0200-00001F04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1056" name="Text Box 11">
          <a:extLst>
            <a:ext uri="{FF2B5EF4-FFF2-40B4-BE49-F238E27FC236}">
              <a16:creationId xmlns="" xmlns:a16="http://schemas.microsoft.com/office/drawing/2014/main" id="{00000000-0008-0000-0200-00002004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1057" name="Text Box 12">
          <a:extLst>
            <a:ext uri="{FF2B5EF4-FFF2-40B4-BE49-F238E27FC236}">
              <a16:creationId xmlns="" xmlns:a16="http://schemas.microsoft.com/office/drawing/2014/main" id="{00000000-0008-0000-0200-00002104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1058" name="Text Box 10">
          <a:extLst>
            <a:ext uri="{FF2B5EF4-FFF2-40B4-BE49-F238E27FC236}">
              <a16:creationId xmlns="" xmlns:a16="http://schemas.microsoft.com/office/drawing/2014/main" id="{00000000-0008-0000-0200-00002204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1059" name="Text Box 11">
          <a:extLst>
            <a:ext uri="{FF2B5EF4-FFF2-40B4-BE49-F238E27FC236}">
              <a16:creationId xmlns="" xmlns:a16="http://schemas.microsoft.com/office/drawing/2014/main" id="{00000000-0008-0000-0200-00002304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1060" name="Text Box 12">
          <a:extLst>
            <a:ext uri="{FF2B5EF4-FFF2-40B4-BE49-F238E27FC236}">
              <a16:creationId xmlns="" xmlns:a16="http://schemas.microsoft.com/office/drawing/2014/main" id="{00000000-0008-0000-0200-00002404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1061" name="Text Box 10">
          <a:extLst>
            <a:ext uri="{FF2B5EF4-FFF2-40B4-BE49-F238E27FC236}">
              <a16:creationId xmlns="" xmlns:a16="http://schemas.microsoft.com/office/drawing/2014/main" id="{00000000-0008-0000-0200-00002504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1062" name="Text Box 11">
          <a:extLst>
            <a:ext uri="{FF2B5EF4-FFF2-40B4-BE49-F238E27FC236}">
              <a16:creationId xmlns="" xmlns:a16="http://schemas.microsoft.com/office/drawing/2014/main" id="{00000000-0008-0000-0200-00002604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30</xdr:row>
      <xdr:rowOff>0</xdr:rowOff>
    </xdr:from>
    <xdr:to>
      <xdr:col>5</xdr:col>
      <xdr:colOff>104775</xdr:colOff>
      <xdr:row>31</xdr:row>
      <xdr:rowOff>457201</xdr:rowOff>
    </xdr:to>
    <xdr:sp macro="" textlink="">
      <xdr:nvSpPr>
        <xdr:cNvPr id="1063" name="Text Box 12">
          <a:extLst>
            <a:ext uri="{FF2B5EF4-FFF2-40B4-BE49-F238E27FC236}">
              <a16:creationId xmlns="" xmlns:a16="http://schemas.microsoft.com/office/drawing/2014/main" id="{00000000-0008-0000-0200-000027040000}"/>
            </a:ext>
          </a:extLst>
        </xdr:cNvPr>
        <xdr:cNvSpPr txBox="1">
          <a:spLocks noChangeArrowheads="1"/>
        </xdr:cNvSpPr>
      </xdr:nvSpPr>
      <xdr:spPr bwMode="auto">
        <a:xfrm>
          <a:off x="5353050" y="41986200"/>
          <a:ext cx="9525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31</xdr:row>
      <xdr:rowOff>0</xdr:rowOff>
    </xdr:from>
    <xdr:to>
      <xdr:col>5</xdr:col>
      <xdr:colOff>85725</xdr:colOff>
      <xdr:row>31</xdr:row>
      <xdr:rowOff>238125</xdr:rowOff>
    </xdr:to>
    <xdr:sp macro="" textlink="">
      <xdr:nvSpPr>
        <xdr:cNvPr id="1064" name="Text Box 10">
          <a:extLst>
            <a:ext uri="{FF2B5EF4-FFF2-40B4-BE49-F238E27FC236}">
              <a16:creationId xmlns="" xmlns:a16="http://schemas.microsoft.com/office/drawing/2014/main" id="{00000000-0008-0000-0200-000028040000}"/>
            </a:ext>
          </a:extLst>
        </xdr:cNvPr>
        <xdr:cNvSpPr txBox="1">
          <a:spLocks noChangeArrowheads="1"/>
        </xdr:cNvSpPr>
      </xdr:nvSpPr>
      <xdr:spPr bwMode="auto">
        <a:xfrm>
          <a:off x="5353050" y="425862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31</xdr:row>
      <xdr:rowOff>0</xdr:rowOff>
    </xdr:from>
    <xdr:to>
      <xdr:col>5</xdr:col>
      <xdr:colOff>85725</xdr:colOff>
      <xdr:row>31</xdr:row>
      <xdr:rowOff>238125</xdr:rowOff>
    </xdr:to>
    <xdr:sp macro="" textlink="">
      <xdr:nvSpPr>
        <xdr:cNvPr id="1065" name="Text Box 11">
          <a:extLst>
            <a:ext uri="{FF2B5EF4-FFF2-40B4-BE49-F238E27FC236}">
              <a16:creationId xmlns="" xmlns:a16="http://schemas.microsoft.com/office/drawing/2014/main" id="{00000000-0008-0000-0200-000029040000}"/>
            </a:ext>
          </a:extLst>
        </xdr:cNvPr>
        <xdr:cNvSpPr txBox="1">
          <a:spLocks noChangeArrowheads="1"/>
        </xdr:cNvSpPr>
      </xdr:nvSpPr>
      <xdr:spPr bwMode="auto">
        <a:xfrm>
          <a:off x="5353050" y="425862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31</xdr:row>
      <xdr:rowOff>0</xdr:rowOff>
    </xdr:from>
    <xdr:to>
      <xdr:col>5</xdr:col>
      <xdr:colOff>85725</xdr:colOff>
      <xdr:row>31</xdr:row>
      <xdr:rowOff>238125</xdr:rowOff>
    </xdr:to>
    <xdr:sp macro="" textlink="">
      <xdr:nvSpPr>
        <xdr:cNvPr id="1066" name="Text Box 12">
          <a:extLst>
            <a:ext uri="{FF2B5EF4-FFF2-40B4-BE49-F238E27FC236}">
              <a16:creationId xmlns="" xmlns:a16="http://schemas.microsoft.com/office/drawing/2014/main" id="{00000000-0008-0000-0200-00002A040000}"/>
            </a:ext>
          </a:extLst>
        </xdr:cNvPr>
        <xdr:cNvSpPr txBox="1">
          <a:spLocks noChangeArrowheads="1"/>
        </xdr:cNvSpPr>
      </xdr:nvSpPr>
      <xdr:spPr bwMode="auto">
        <a:xfrm>
          <a:off x="5353050" y="425862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31</xdr:row>
      <xdr:rowOff>0</xdr:rowOff>
    </xdr:from>
    <xdr:to>
      <xdr:col>5</xdr:col>
      <xdr:colOff>85725</xdr:colOff>
      <xdr:row>31</xdr:row>
      <xdr:rowOff>238125</xdr:rowOff>
    </xdr:to>
    <xdr:sp macro="" textlink="">
      <xdr:nvSpPr>
        <xdr:cNvPr id="1067" name="Text Box 10">
          <a:extLst>
            <a:ext uri="{FF2B5EF4-FFF2-40B4-BE49-F238E27FC236}">
              <a16:creationId xmlns="" xmlns:a16="http://schemas.microsoft.com/office/drawing/2014/main" id="{00000000-0008-0000-0200-00002B040000}"/>
            </a:ext>
          </a:extLst>
        </xdr:cNvPr>
        <xdr:cNvSpPr txBox="1">
          <a:spLocks noChangeArrowheads="1"/>
        </xdr:cNvSpPr>
      </xdr:nvSpPr>
      <xdr:spPr bwMode="auto">
        <a:xfrm>
          <a:off x="5353050" y="425862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31</xdr:row>
      <xdr:rowOff>0</xdr:rowOff>
    </xdr:from>
    <xdr:to>
      <xdr:col>5</xdr:col>
      <xdr:colOff>85725</xdr:colOff>
      <xdr:row>31</xdr:row>
      <xdr:rowOff>238125</xdr:rowOff>
    </xdr:to>
    <xdr:sp macro="" textlink="">
      <xdr:nvSpPr>
        <xdr:cNvPr id="1068" name="Text Box 11">
          <a:extLst>
            <a:ext uri="{FF2B5EF4-FFF2-40B4-BE49-F238E27FC236}">
              <a16:creationId xmlns="" xmlns:a16="http://schemas.microsoft.com/office/drawing/2014/main" id="{00000000-0008-0000-0200-00002C040000}"/>
            </a:ext>
          </a:extLst>
        </xdr:cNvPr>
        <xdr:cNvSpPr txBox="1">
          <a:spLocks noChangeArrowheads="1"/>
        </xdr:cNvSpPr>
      </xdr:nvSpPr>
      <xdr:spPr bwMode="auto">
        <a:xfrm>
          <a:off x="5353050" y="425862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31</xdr:row>
      <xdr:rowOff>0</xdr:rowOff>
    </xdr:from>
    <xdr:to>
      <xdr:col>5</xdr:col>
      <xdr:colOff>85725</xdr:colOff>
      <xdr:row>31</xdr:row>
      <xdr:rowOff>238125</xdr:rowOff>
    </xdr:to>
    <xdr:sp macro="" textlink="">
      <xdr:nvSpPr>
        <xdr:cNvPr id="1069" name="Text Box 12">
          <a:extLst>
            <a:ext uri="{FF2B5EF4-FFF2-40B4-BE49-F238E27FC236}">
              <a16:creationId xmlns="" xmlns:a16="http://schemas.microsoft.com/office/drawing/2014/main" id="{00000000-0008-0000-0200-00002D040000}"/>
            </a:ext>
          </a:extLst>
        </xdr:cNvPr>
        <xdr:cNvSpPr txBox="1">
          <a:spLocks noChangeArrowheads="1"/>
        </xdr:cNvSpPr>
      </xdr:nvSpPr>
      <xdr:spPr bwMode="auto">
        <a:xfrm>
          <a:off x="5353050" y="425862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31</xdr:row>
      <xdr:rowOff>0</xdr:rowOff>
    </xdr:from>
    <xdr:to>
      <xdr:col>5</xdr:col>
      <xdr:colOff>85725</xdr:colOff>
      <xdr:row>31</xdr:row>
      <xdr:rowOff>238125</xdr:rowOff>
    </xdr:to>
    <xdr:sp macro="" textlink="">
      <xdr:nvSpPr>
        <xdr:cNvPr id="1070" name="Text Box 10">
          <a:extLst>
            <a:ext uri="{FF2B5EF4-FFF2-40B4-BE49-F238E27FC236}">
              <a16:creationId xmlns="" xmlns:a16="http://schemas.microsoft.com/office/drawing/2014/main" id="{00000000-0008-0000-0200-00002E040000}"/>
            </a:ext>
          </a:extLst>
        </xdr:cNvPr>
        <xdr:cNvSpPr txBox="1">
          <a:spLocks noChangeArrowheads="1"/>
        </xdr:cNvSpPr>
      </xdr:nvSpPr>
      <xdr:spPr bwMode="auto">
        <a:xfrm>
          <a:off x="5353050" y="425862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31</xdr:row>
      <xdr:rowOff>0</xdr:rowOff>
    </xdr:from>
    <xdr:to>
      <xdr:col>5</xdr:col>
      <xdr:colOff>85725</xdr:colOff>
      <xdr:row>31</xdr:row>
      <xdr:rowOff>238125</xdr:rowOff>
    </xdr:to>
    <xdr:sp macro="" textlink="">
      <xdr:nvSpPr>
        <xdr:cNvPr id="1071" name="Text Box 11">
          <a:extLst>
            <a:ext uri="{FF2B5EF4-FFF2-40B4-BE49-F238E27FC236}">
              <a16:creationId xmlns="" xmlns:a16="http://schemas.microsoft.com/office/drawing/2014/main" id="{00000000-0008-0000-0200-00002F040000}"/>
            </a:ext>
          </a:extLst>
        </xdr:cNvPr>
        <xdr:cNvSpPr txBox="1">
          <a:spLocks noChangeArrowheads="1"/>
        </xdr:cNvSpPr>
      </xdr:nvSpPr>
      <xdr:spPr bwMode="auto">
        <a:xfrm>
          <a:off x="5353050" y="425862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31</xdr:row>
      <xdr:rowOff>0</xdr:rowOff>
    </xdr:from>
    <xdr:to>
      <xdr:col>5</xdr:col>
      <xdr:colOff>85725</xdr:colOff>
      <xdr:row>31</xdr:row>
      <xdr:rowOff>238125</xdr:rowOff>
    </xdr:to>
    <xdr:sp macro="" textlink="">
      <xdr:nvSpPr>
        <xdr:cNvPr id="1072" name="Text Box 12">
          <a:extLst>
            <a:ext uri="{FF2B5EF4-FFF2-40B4-BE49-F238E27FC236}">
              <a16:creationId xmlns="" xmlns:a16="http://schemas.microsoft.com/office/drawing/2014/main" id="{00000000-0008-0000-0200-000030040000}"/>
            </a:ext>
          </a:extLst>
        </xdr:cNvPr>
        <xdr:cNvSpPr txBox="1">
          <a:spLocks noChangeArrowheads="1"/>
        </xdr:cNvSpPr>
      </xdr:nvSpPr>
      <xdr:spPr bwMode="auto">
        <a:xfrm>
          <a:off x="5353050" y="425862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31</xdr:row>
      <xdr:rowOff>0</xdr:rowOff>
    </xdr:from>
    <xdr:to>
      <xdr:col>5</xdr:col>
      <xdr:colOff>85725</xdr:colOff>
      <xdr:row>31</xdr:row>
      <xdr:rowOff>238125</xdr:rowOff>
    </xdr:to>
    <xdr:sp macro="" textlink="">
      <xdr:nvSpPr>
        <xdr:cNvPr id="1073" name="Text Box 10">
          <a:extLst>
            <a:ext uri="{FF2B5EF4-FFF2-40B4-BE49-F238E27FC236}">
              <a16:creationId xmlns="" xmlns:a16="http://schemas.microsoft.com/office/drawing/2014/main" id="{00000000-0008-0000-0200-000031040000}"/>
            </a:ext>
          </a:extLst>
        </xdr:cNvPr>
        <xdr:cNvSpPr txBox="1">
          <a:spLocks noChangeArrowheads="1"/>
        </xdr:cNvSpPr>
      </xdr:nvSpPr>
      <xdr:spPr bwMode="auto">
        <a:xfrm>
          <a:off x="5353050" y="425862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31</xdr:row>
      <xdr:rowOff>0</xdr:rowOff>
    </xdr:from>
    <xdr:to>
      <xdr:col>5</xdr:col>
      <xdr:colOff>85725</xdr:colOff>
      <xdr:row>31</xdr:row>
      <xdr:rowOff>238125</xdr:rowOff>
    </xdr:to>
    <xdr:sp macro="" textlink="">
      <xdr:nvSpPr>
        <xdr:cNvPr id="1074" name="Text Box 11">
          <a:extLst>
            <a:ext uri="{FF2B5EF4-FFF2-40B4-BE49-F238E27FC236}">
              <a16:creationId xmlns="" xmlns:a16="http://schemas.microsoft.com/office/drawing/2014/main" id="{00000000-0008-0000-0200-000032040000}"/>
            </a:ext>
          </a:extLst>
        </xdr:cNvPr>
        <xdr:cNvSpPr txBox="1">
          <a:spLocks noChangeArrowheads="1"/>
        </xdr:cNvSpPr>
      </xdr:nvSpPr>
      <xdr:spPr bwMode="auto">
        <a:xfrm>
          <a:off x="5353050" y="425862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31</xdr:row>
      <xdr:rowOff>0</xdr:rowOff>
    </xdr:from>
    <xdr:to>
      <xdr:col>5</xdr:col>
      <xdr:colOff>85725</xdr:colOff>
      <xdr:row>31</xdr:row>
      <xdr:rowOff>238125</xdr:rowOff>
    </xdr:to>
    <xdr:sp macro="" textlink="">
      <xdr:nvSpPr>
        <xdr:cNvPr id="1075" name="Text Box 12">
          <a:extLst>
            <a:ext uri="{FF2B5EF4-FFF2-40B4-BE49-F238E27FC236}">
              <a16:creationId xmlns="" xmlns:a16="http://schemas.microsoft.com/office/drawing/2014/main" id="{00000000-0008-0000-0200-000033040000}"/>
            </a:ext>
          </a:extLst>
        </xdr:cNvPr>
        <xdr:cNvSpPr txBox="1">
          <a:spLocks noChangeArrowheads="1"/>
        </xdr:cNvSpPr>
      </xdr:nvSpPr>
      <xdr:spPr bwMode="auto">
        <a:xfrm>
          <a:off x="5353050" y="425862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31</xdr:row>
      <xdr:rowOff>0</xdr:rowOff>
    </xdr:from>
    <xdr:to>
      <xdr:col>5</xdr:col>
      <xdr:colOff>85725</xdr:colOff>
      <xdr:row>31</xdr:row>
      <xdr:rowOff>238125</xdr:rowOff>
    </xdr:to>
    <xdr:sp macro="" textlink="">
      <xdr:nvSpPr>
        <xdr:cNvPr id="1076" name="Text Box 10">
          <a:extLst>
            <a:ext uri="{FF2B5EF4-FFF2-40B4-BE49-F238E27FC236}">
              <a16:creationId xmlns="" xmlns:a16="http://schemas.microsoft.com/office/drawing/2014/main" id="{00000000-0008-0000-0200-000034040000}"/>
            </a:ext>
          </a:extLst>
        </xdr:cNvPr>
        <xdr:cNvSpPr txBox="1">
          <a:spLocks noChangeArrowheads="1"/>
        </xdr:cNvSpPr>
      </xdr:nvSpPr>
      <xdr:spPr bwMode="auto">
        <a:xfrm>
          <a:off x="5353050" y="425862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31</xdr:row>
      <xdr:rowOff>0</xdr:rowOff>
    </xdr:from>
    <xdr:to>
      <xdr:col>5</xdr:col>
      <xdr:colOff>85725</xdr:colOff>
      <xdr:row>31</xdr:row>
      <xdr:rowOff>238125</xdr:rowOff>
    </xdr:to>
    <xdr:sp macro="" textlink="">
      <xdr:nvSpPr>
        <xdr:cNvPr id="1077" name="Text Box 11">
          <a:extLst>
            <a:ext uri="{FF2B5EF4-FFF2-40B4-BE49-F238E27FC236}">
              <a16:creationId xmlns="" xmlns:a16="http://schemas.microsoft.com/office/drawing/2014/main" id="{00000000-0008-0000-0200-000035040000}"/>
            </a:ext>
          </a:extLst>
        </xdr:cNvPr>
        <xdr:cNvSpPr txBox="1">
          <a:spLocks noChangeArrowheads="1"/>
        </xdr:cNvSpPr>
      </xdr:nvSpPr>
      <xdr:spPr bwMode="auto">
        <a:xfrm>
          <a:off x="5353050" y="425862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31</xdr:row>
      <xdr:rowOff>0</xdr:rowOff>
    </xdr:from>
    <xdr:to>
      <xdr:col>5</xdr:col>
      <xdr:colOff>85725</xdr:colOff>
      <xdr:row>31</xdr:row>
      <xdr:rowOff>238125</xdr:rowOff>
    </xdr:to>
    <xdr:sp macro="" textlink="">
      <xdr:nvSpPr>
        <xdr:cNvPr id="1078" name="Text Box 12">
          <a:extLst>
            <a:ext uri="{FF2B5EF4-FFF2-40B4-BE49-F238E27FC236}">
              <a16:creationId xmlns="" xmlns:a16="http://schemas.microsoft.com/office/drawing/2014/main" id="{00000000-0008-0000-0200-000036040000}"/>
            </a:ext>
          </a:extLst>
        </xdr:cNvPr>
        <xdr:cNvSpPr txBox="1">
          <a:spLocks noChangeArrowheads="1"/>
        </xdr:cNvSpPr>
      </xdr:nvSpPr>
      <xdr:spPr bwMode="auto">
        <a:xfrm>
          <a:off x="5353050" y="425862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31</xdr:row>
      <xdr:rowOff>0</xdr:rowOff>
    </xdr:from>
    <xdr:to>
      <xdr:col>5</xdr:col>
      <xdr:colOff>85725</xdr:colOff>
      <xdr:row>31</xdr:row>
      <xdr:rowOff>238125</xdr:rowOff>
    </xdr:to>
    <xdr:sp macro="" textlink="">
      <xdr:nvSpPr>
        <xdr:cNvPr id="1079" name="Text Box 10">
          <a:extLst>
            <a:ext uri="{FF2B5EF4-FFF2-40B4-BE49-F238E27FC236}">
              <a16:creationId xmlns="" xmlns:a16="http://schemas.microsoft.com/office/drawing/2014/main" id="{00000000-0008-0000-0200-000037040000}"/>
            </a:ext>
          </a:extLst>
        </xdr:cNvPr>
        <xdr:cNvSpPr txBox="1">
          <a:spLocks noChangeArrowheads="1"/>
        </xdr:cNvSpPr>
      </xdr:nvSpPr>
      <xdr:spPr bwMode="auto">
        <a:xfrm>
          <a:off x="5353050" y="425862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31</xdr:row>
      <xdr:rowOff>0</xdr:rowOff>
    </xdr:from>
    <xdr:to>
      <xdr:col>5</xdr:col>
      <xdr:colOff>85725</xdr:colOff>
      <xdr:row>31</xdr:row>
      <xdr:rowOff>238125</xdr:rowOff>
    </xdr:to>
    <xdr:sp macro="" textlink="">
      <xdr:nvSpPr>
        <xdr:cNvPr id="1080" name="Text Box 11">
          <a:extLst>
            <a:ext uri="{FF2B5EF4-FFF2-40B4-BE49-F238E27FC236}">
              <a16:creationId xmlns="" xmlns:a16="http://schemas.microsoft.com/office/drawing/2014/main" id="{00000000-0008-0000-0200-000038040000}"/>
            </a:ext>
          </a:extLst>
        </xdr:cNvPr>
        <xdr:cNvSpPr txBox="1">
          <a:spLocks noChangeArrowheads="1"/>
        </xdr:cNvSpPr>
      </xdr:nvSpPr>
      <xdr:spPr bwMode="auto">
        <a:xfrm>
          <a:off x="5353050" y="425862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31</xdr:row>
      <xdr:rowOff>0</xdr:rowOff>
    </xdr:from>
    <xdr:to>
      <xdr:col>5</xdr:col>
      <xdr:colOff>85725</xdr:colOff>
      <xdr:row>31</xdr:row>
      <xdr:rowOff>238125</xdr:rowOff>
    </xdr:to>
    <xdr:sp macro="" textlink="">
      <xdr:nvSpPr>
        <xdr:cNvPr id="1081" name="Text Box 12">
          <a:extLst>
            <a:ext uri="{FF2B5EF4-FFF2-40B4-BE49-F238E27FC236}">
              <a16:creationId xmlns="" xmlns:a16="http://schemas.microsoft.com/office/drawing/2014/main" id="{00000000-0008-0000-0200-000039040000}"/>
            </a:ext>
          </a:extLst>
        </xdr:cNvPr>
        <xdr:cNvSpPr txBox="1">
          <a:spLocks noChangeArrowheads="1"/>
        </xdr:cNvSpPr>
      </xdr:nvSpPr>
      <xdr:spPr bwMode="auto">
        <a:xfrm>
          <a:off x="5353050" y="425862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31</xdr:row>
      <xdr:rowOff>0</xdr:rowOff>
    </xdr:from>
    <xdr:to>
      <xdr:col>5</xdr:col>
      <xdr:colOff>85725</xdr:colOff>
      <xdr:row>31</xdr:row>
      <xdr:rowOff>238125</xdr:rowOff>
    </xdr:to>
    <xdr:sp macro="" textlink="">
      <xdr:nvSpPr>
        <xdr:cNvPr id="1082" name="Text Box 10">
          <a:extLst>
            <a:ext uri="{FF2B5EF4-FFF2-40B4-BE49-F238E27FC236}">
              <a16:creationId xmlns="" xmlns:a16="http://schemas.microsoft.com/office/drawing/2014/main" id="{00000000-0008-0000-0200-00003A040000}"/>
            </a:ext>
          </a:extLst>
        </xdr:cNvPr>
        <xdr:cNvSpPr txBox="1">
          <a:spLocks noChangeArrowheads="1"/>
        </xdr:cNvSpPr>
      </xdr:nvSpPr>
      <xdr:spPr bwMode="auto">
        <a:xfrm>
          <a:off x="5353050" y="425862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31</xdr:row>
      <xdr:rowOff>0</xdr:rowOff>
    </xdr:from>
    <xdr:to>
      <xdr:col>5</xdr:col>
      <xdr:colOff>85725</xdr:colOff>
      <xdr:row>31</xdr:row>
      <xdr:rowOff>238125</xdr:rowOff>
    </xdr:to>
    <xdr:sp macro="" textlink="">
      <xdr:nvSpPr>
        <xdr:cNvPr id="1083" name="Text Box 11">
          <a:extLst>
            <a:ext uri="{FF2B5EF4-FFF2-40B4-BE49-F238E27FC236}">
              <a16:creationId xmlns="" xmlns:a16="http://schemas.microsoft.com/office/drawing/2014/main" id="{00000000-0008-0000-0200-00003B040000}"/>
            </a:ext>
          </a:extLst>
        </xdr:cNvPr>
        <xdr:cNvSpPr txBox="1">
          <a:spLocks noChangeArrowheads="1"/>
        </xdr:cNvSpPr>
      </xdr:nvSpPr>
      <xdr:spPr bwMode="auto">
        <a:xfrm>
          <a:off x="5353050" y="425862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31</xdr:row>
      <xdr:rowOff>0</xdr:rowOff>
    </xdr:from>
    <xdr:to>
      <xdr:col>5</xdr:col>
      <xdr:colOff>85725</xdr:colOff>
      <xdr:row>31</xdr:row>
      <xdr:rowOff>238125</xdr:rowOff>
    </xdr:to>
    <xdr:sp macro="" textlink="">
      <xdr:nvSpPr>
        <xdr:cNvPr id="1084" name="Text Box 12">
          <a:extLst>
            <a:ext uri="{FF2B5EF4-FFF2-40B4-BE49-F238E27FC236}">
              <a16:creationId xmlns="" xmlns:a16="http://schemas.microsoft.com/office/drawing/2014/main" id="{00000000-0008-0000-0200-00003C040000}"/>
            </a:ext>
          </a:extLst>
        </xdr:cNvPr>
        <xdr:cNvSpPr txBox="1">
          <a:spLocks noChangeArrowheads="1"/>
        </xdr:cNvSpPr>
      </xdr:nvSpPr>
      <xdr:spPr bwMode="auto">
        <a:xfrm>
          <a:off x="5353050" y="425862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31</xdr:row>
      <xdr:rowOff>0</xdr:rowOff>
    </xdr:from>
    <xdr:to>
      <xdr:col>5</xdr:col>
      <xdr:colOff>85725</xdr:colOff>
      <xdr:row>31</xdr:row>
      <xdr:rowOff>238125</xdr:rowOff>
    </xdr:to>
    <xdr:sp macro="" textlink="">
      <xdr:nvSpPr>
        <xdr:cNvPr id="1085" name="Text Box 10">
          <a:extLst>
            <a:ext uri="{FF2B5EF4-FFF2-40B4-BE49-F238E27FC236}">
              <a16:creationId xmlns="" xmlns:a16="http://schemas.microsoft.com/office/drawing/2014/main" id="{00000000-0008-0000-0200-00003D040000}"/>
            </a:ext>
          </a:extLst>
        </xdr:cNvPr>
        <xdr:cNvSpPr txBox="1">
          <a:spLocks noChangeArrowheads="1"/>
        </xdr:cNvSpPr>
      </xdr:nvSpPr>
      <xdr:spPr bwMode="auto">
        <a:xfrm>
          <a:off x="5353050" y="425862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31</xdr:row>
      <xdr:rowOff>0</xdr:rowOff>
    </xdr:from>
    <xdr:to>
      <xdr:col>5</xdr:col>
      <xdr:colOff>85725</xdr:colOff>
      <xdr:row>31</xdr:row>
      <xdr:rowOff>238125</xdr:rowOff>
    </xdr:to>
    <xdr:sp macro="" textlink="">
      <xdr:nvSpPr>
        <xdr:cNvPr id="1086" name="Text Box 11">
          <a:extLst>
            <a:ext uri="{FF2B5EF4-FFF2-40B4-BE49-F238E27FC236}">
              <a16:creationId xmlns="" xmlns:a16="http://schemas.microsoft.com/office/drawing/2014/main" id="{00000000-0008-0000-0200-00003E040000}"/>
            </a:ext>
          </a:extLst>
        </xdr:cNvPr>
        <xdr:cNvSpPr txBox="1">
          <a:spLocks noChangeArrowheads="1"/>
        </xdr:cNvSpPr>
      </xdr:nvSpPr>
      <xdr:spPr bwMode="auto">
        <a:xfrm>
          <a:off x="5353050" y="425862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31</xdr:row>
      <xdr:rowOff>0</xdr:rowOff>
    </xdr:from>
    <xdr:to>
      <xdr:col>5</xdr:col>
      <xdr:colOff>85725</xdr:colOff>
      <xdr:row>31</xdr:row>
      <xdr:rowOff>238125</xdr:rowOff>
    </xdr:to>
    <xdr:sp macro="" textlink="">
      <xdr:nvSpPr>
        <xdr:cNvPr id="1087" name="Text Box 12">
          <a:extLst>
            <a:ext uri="{FF2B5EF4-FFF2-40B4-BE49-F238E27FC236}">
              <a16:creationId xmlns="" xmlns:a16="http://schemas.microsoft.com/office/drawing/2014/main" id="{00000000-0008-0000-0200-00003F040000}"/>
            </a:ext>
          </a:extLst>
        </xdr:cNvPr>
        <xdr:cNvSpPr txBox="1">
          <a:spLocks noChangeArrowheads="1"/>
        </xdr:cNvSpPr>
      </xdr:nvSpPr>
      <xdr:spPr bwMode="auto">
        <a:xfrm>
          <a:off x="5353050" y="425862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31</xdr:row>
      <xdr:rowOff>0</xdr:rowOff>
    </xdr:from>
    <xdr:to>
      <xdr:col>5</xdr:col>
      <xdr:colOff>85725</xdr:colOff>
      <xdr:row>31</xdr:row>
      <xdr:rowOff>238125</xdr:rowOff>
    </xdr:to>
    <xdr:sp macro="" textlink="">
      <xdr:nvSpPr>
        <xdr:cNvPr id="1088" name="Text Box 10">
          <a:extLst>
            <a:ext uri="{FF2B5EF4-FFF2-40B4-BE49-F238E27FC236}">
              <a16:creationId xmlns="" xmlns:a16="http://schemas.microsoft.com/office/drawing/2014/main" id="{00000000-0008-0000-0200-000040040000}"/>
            </a:ext>
          </a:extLst>
        </xdr:cNvPr>
        <xdr:cNvSpPr txBox="1">
          <a:spLocks noChangeArrowheads="1"/>
        </xdr:cNvSpPr>
      </xdr:nvSpPr>
      <xdr:spPr bwMode="auto">
        <a:xfrm>
          <a:off x="5353050" y="425862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31</xdr:row>
      <xdr:rowOff>0</xdr:rowOff>
    </xdr:from>
    <xdr:to>
      <xdr:col>5</xdr:col>
      <xdr:colOff>85725</xdr:colOff>
      <xdr:row>31</xdr:row>
      <xdr:rowOff>238125</xdr:rowOff>
    </xdr:to>
    <xdr:sp macro="" textlink="">
      <xdr:nvSpPr>
        <xdr:cNvPr id="1089" name="Text Box 11">
          <a:extLst>
            <a:ext uri="{FF2B5EF4-FFF2-40B4-BE49-F238E27FC236}">
              <a16:creationId xmlns="" xmlns:a16="http://schemas.microsoft.com/office/drawing/2014/main" id="{00000000-0008-0000-0200-000041040000}"/>
            </a:ext>
          </a:extLst>
        </xdr:cNvPr>
        <xdr:cNvSpPr txBox="1">
          <a:spLocks noChangeArrowheads="1"/>
        </xdr:cNvSpPr>
      </xdr:nvSpPr>
      <xdr:spPr bwMode="auto">
        <a:xfrm>
          <a:off x="5353050" y="425862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31</xdr:row>
      <xdr:rowOff>0</xdr:rowOff>
    </xdr:from>
    <xdr:to>
      <xdr:col>5</xdr:col>
      <xdr:colOff>85725</xdr:colOff>
      <xdr:row>31</xdr:row>
      <xdr:rowOff>238125</xdr:rowOff>
    </xdr:to>
    <xdr:sp macro="" textlink="">
      <xdr:nvSpPr>
        <xdr:cNvPr id="1090" name="Text Box 12">
          <a:extLst>
            <a:ext uri="{FF2B5EF4-FFF2-40B4-BE49-F238E27FC236}">
              <a16:creationId xmlns="" xmlns:a16="http://schemas.microsoft.com/office/drawing/2014/main" id="{00000000-0008-0000-0200-000042040000}"/>
            </a:ext>
          </a:extLst>
        </xdr:cNvPr>
        <xdr:cNvSpPr txBox="1">
          <a:spLocks noChangeArrowheads="1"/>
        </xdr:cNvSpPr>
      </xdr:nvSpPr>
      <xdr:spPr bwMode="auto">
        <a:xfrm>
          <a:off x="5353050" y="425862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31</xdr:row>
      <xdr:rowOff>0</xdr:rowOff>
    </xdr:from>
    <xdr:to>
      <xdr:col>5</xdr:col>
      <xdr:colOff>85725</xdr:colOff>
      <xdr:row>31</xdr:row>
      <xdr:rowOff>238125</xdr:rowOff>
    </xdr:to>
    <xdr:sp macro="" textlink="">
      <xdr:nvSpPr>
        <xdr:cNvPr id="1091" name="Text Box 10">
          <a:extLst>
            <a:ext uri="{FF2B5EF4-FFF2-40B4-BE49-F238E27FC236}">
              <a16:creationId xmlns="" xmlns:a16="http://schemas.microsoft.com/office/drawing/2014/main" id="{00000000-0008-0000-0200-000043040000}"/>
            </a:ext>
          </a:extLst>
        </xdr:cNvPr>
        <xdr:cNvSpPr txBox="1">
          <a:spLocks noChangeArrowheads="1"/>
        </xdr:cNvSpPr>
      </xdr:nvSpPr>
      <xdr:spPr bwMode="auto">
        <a:xfrm>
          <a:off x="5353050" y="425862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31</xdr:row>
      <xdr:rowOff>0</xdr:rowOff>
    </xdr:from>
    <xdr:to>
      <xdr:col>5</xdr:col>
      <xdr:colOff>85725</xdr:colOff>
      <xdr:row>31</xdr:row>
      <xdr:rowOff>238125</xdr:rowOff>
    </xdr:to>
    <xdr:sp macro="" textlink="">
      <xdr:nvSpPr>
        <xdr:cNvPr id="1092" name="Text Box 11">
          <a:extLst>
            <a:ext uri="{FF2B5EF4-FFF2-40B4-BE49-F238E27FC236}">
              <a16:creationId xmlns="" xmlns:a16="http://schemas.microsoft.com/office/drawing/2014/main" id="{00000000-0008-0000-0200-000044040000}"/>
            </a:ext>
          </a:extLst>
        </xdr:cNvPr>
        <xdr:cNvSpPr txBox="1">
          <a:spLocks noChangeArrowheads="1"/>
        </xdr:cNvSpPr>
      </xdr:nvSpPr>
      <xdr:spPr bwMode="auto">
        <a:xfrm>
          <a:off x="5353050" y="425862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31</xdr:row>
      <xdr:rowOff>0</xdr:rowOff>
    </xdr:from>
    <xdr:to>
      <xdr:col>5</xdr:col>
      <xdr:colOff>85725</xdr:colOff>
      <xdr:row>31</xdr:row>
      <xdr:rowOff>238125</xdr:rowOff>
    </xdr:to>
    <xdr:sp macro="" textlink="">
      <xdr:nvSpPr>
        <xdr:cNvPr id="1093" name="Text Box 12">
          <a:extLst>
            <a:ext uri="{FF2B5EF4-FFF2-40B4-BE49-F238E27FC236}">
              <a16:creationId xmlns="" xmlns:a16="http://schemas.microsoft.com/office/drawing/2014/main" id="{00000000-0008-0000-0200-000045040000}"/>
            </a:ext>
          </a:extLst>
        </xdr:cNvPr>
        <xdr:cNvSpPr txBox="1">
          <a:spLocks noChangeArrowheads="1"/>
        </xdr:cNvSpPr>
      </xdr:nvSpPr>
      <xdr:spPr bwMode="auto">
        <a:xfrm>
          <a:off x="5353050" y="425862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31</xdr:row>
      <xdr:rowOff>0</xdr:rowOff>
    </xdr:from>
    <xdr:to>
      <xdr:col>5</xdr:col>
      <xdr:colOff>85725</xdr:colOff>
      <xdr:row>31</xdr:row>
      <xdr:rowOff>238125</xdr:rowOff>
    </xdr:to>
    <xdr:sp macro="" textlink="">
      <xdr:nvSpPr>
        <xdr:cNvPr id="1094" name="Text Box 10">
          <a:extLst>
            <a:ext uri="{FF2B5EF4-FFF2-40B4-BE49-F238E27FC236}">
              <a16:creationId xmlns="" xmlns:a16="http://schemas.microsoft.com/office/drawing/2014/main" id="{00000000-0008-0000-0200-000046040000}"/>
            </a:ext>
          </a:extLst>
        </xdr:cNvPr>
        <xdr:cNvSpPr txBox="1">
          <a:spLocks noChangeArrowheads="1"/>
        </xdr:cNvSpPr>
      </xdr:nvSpPr>
      <xdr:spPr bwMode="auto">
        <a:xfrm>
          <a:off x="5353050" y="425862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31</xdr:row>
      <xdr:rowOff>0</xdr:rowOff>
    </xdr:from>
    <xdr:to>
      <xdr:col>5</xdr:col>
      <xdr:colOff>85725</xdr:colOff>
      <xdr:row>31</xdr:row>
      <xdr:rowOff>238125</xdr:rowOff>
    </xdr:to>
    <xdr:sp macro="" textlink="">
      <xdr:nvSpPr>
        <xdr:cNvPr id="1095" name="Text Box 11">
          <a:extLst>
            <a:ext uri="{FF2B5EF4-FFF2-40B4-BE49-F238E27FC236}">
              <a16:creationId xmlns="" xmlns:a16="http://schemas.microsoft.com/office/drawing/2014/main" id="{00000000-0008-0000-0200-000047040000}"/>
            </a:ext>
          </a:extLst>
        </xdr:cNvPr>
        <xdr:cNvSpPr txBox="1">
          <a:spLocks noChangeArrowheads="1"/>
        </xdr:cNvSpPr>
      </xdr:nvSpPr>
      <xdr:spPr bwMode="auto">
        <a:xfrm>
          <a:off x="5353050" y="425862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31</xdr:row>
      <xdr:rowOff>0</xdr:rowOff>
    </xdr:from>
    <xdr:to>
      <xdr:col>5</xdr:col>
      <xdr:colOff>85725</xdr:colOff>
      <xdr:row>31</xdr:row>
      <xdr:rowOff>238125</xdr:rowOff>
    </xdr:to>
    <xdr:sp macro="" textlink="">
      <xdr:nvSpPr>
        <xdr:cNvPr id="1096" name="Text Box 12">
          <a:extLst>
            <a:ext uri="{FF2B5EF4-FFF2-40B4-BE49-F238E27FC236}">
              <a16:creationId xmlns="" xmlns:a16="http://schemas.microsoft.com/office/drawing/2014/main" id="{00000000-0008-0000-0200-000048040000}"/>
            </a:ext>
          </a:extLst>
        </xdr:cNvPr>
        <xdr:cNvSpPr txBox="1">
          <a:spLocks noChangeArrowheads="1"/>
        </xdr:cNvSpPr>
      </xdr:nvSpPr>
      <xdr:spPr bwMode="auto">
        <a:xfrm>
          <a:off x="5353050" y="425862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31</xdr:row>
      <xdr:rowOff>0</xdr:rowOff>
    </xdr:from>
    <xdr:to>
      <xdr:col>5</xdr:col>
      <xdr:colOff>85725</xdr:colOff>
      <xdr:row>31</xdr:row>
      <xdr:rowOff>238125</xdr:rowOff>
    </xdr:to>
    <xdr:sp macro="" textlink="">
      <xdr:nvSpPr>
        <xdr:cNvPr id="1097" name="Text Box 10">
          <a:extLst>
            <a:ext uri="{FF2B5EF4-FFF2-40B4-BE49-F238E27FC236}">
              <a16:creationId xmlns="" xmlns:a16="http://schemas.microsoft.com/office/drawing/2014/main" id="{00000000-0008-0000-0200-000049040000}"/>
            </a:ext>
          </a:extLst>
        </xdr:cNvPr>
        <xdr:cNvSpPr txBox="1">
          <a:spLocks noChangeArrowheads="1"/>
        </xdr:cNvSpPr>
      </xdr:nvSpPr>
      <xdr:spPr bwMode="auto">
        <a:xfrm>
          <a:off x="5353050" y="425862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31</xdr:row>
      <xdr:rowOff>0</xdr:rowOff>
    </xdr:from>
    <xdr:to>
      <xdr:col>5</xdr:col>
      <xdr:colOff>85725</xdr:colOff>
      <xdr:row>31</xdr:row>
      <xdr:rowOff>238125</xdr:rowOff>
    </xdr:to>
    <xdr:sp macro="" textlink="">
      <xdr:nvSpPr>
        <xdr:cNvPr id="1098" name="Text Box 11">
          <a:extLst>
            <a:ext uri="{FF2B5EF4-FFF2-40B4-BE49-F238E27FC236}">
              <a16:creationId xmlns="" xmlns:a16="http://schemas.microsoft.com/office/drawing/2014/main" id="{00000000-0008-0000-0200-00004A040000}"/>
            </a:ext>
          </a:extLst>
        </xdr:cNvPr>
        <xdr:cNvSpPr txBox="1">
          <a:spLocks noChangeArrowheads="1"/>
        </xdr:cNvSpPr>
      </xdr:nvSpPr>
      <xdr:spPr bwMode="auto">
        <a:xfrm>
          <a:off x="5353050" y="425862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31</xdr:row>
      <xdr:rowOff>0</xdr:rowOff>
    </xdr:from>
    <xdr:to>
      <xdr:col>5</xdr:col>
      <xdr:colOff>85725</xdr:colOff>
      <xdr:row>31</xdr:row>
      <xdr:rowOff>238125</xdr:rowOff>
    </xdr:to>
    <xdr:sp macro="" textlink="">
      <xdr:nvSpPr>
        <xdr:cNvPr id="1099" name="Text Box 12">
          <a:extLst>
            <a:ext uri="{FF2B5EF4-FFF2-40B4-BE49-F238E27FC236}">
              <a16:creationId xmlns="" xmlns:a16="http://schemas.microsoft.com/office/drawing/2014/main" id="{00000000-0008-0000-0200-00004B040000}"/>
            </a:ext>
          </a:extLst>
        </xdr:cNvPr>
        <xdr:cNvSpPr txBox="1">
          <a:spLocks noChangeArrowheads="1"/>
        </xdr:cNvSpPr>
      </xdr:nvSpPr>
      <xdr:spPr bwMode="auto">
        <a:xfrm>
          <a:off x="5353050" y="425862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31</xdr:row>
      <xdr:rowOff>0</xdr:rowOff>
    </xdr:from>
    <xdr:to>
      <xdr:col>5</xdr:col>
      <xdr:colOff>85725</xdr:colOff>
      <xdr:row>31</xdr:row>
      <xdr:rowOff>238125</xdr:rowOff>
    </xdr:to>
    <xdr:sp macro="" textlink="">
      <xdr:nvSpPr>
        <xdr:cNvPr id="1100" name="Text Box 10">
          <a:extLst>
            <a:ext uri="{FF2B5EF4-FFF2-40B4-BE49-F238E27FC236}">
              <a16:creationId xmlns="" xmlns:a16="http://schemas.microsoft.com/office/drawing/2014/main" id="{00000000-0008-0000-0200-00004C040000}"/>
            </a:ext>
          </a:extLst>
        </xdr:cNvPr>
        <xdr:cNvSpPr txBox="1">
          <a:spLocks noChangeArrowheads="1"/>
        </xdr:cNvSpPr>
      </xdr:nvSpPr>
      <xdr:spPr bwMode="auto">
        <a:xfrm>
          <a:off x="5353050" y="425862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31</xdr:row>
      <xdr:rowOff>0</xdr:rowOff>
    </xdr:from>
    <xdr:to>
      <xdr:col>5</xdr:col>
      <xdr:colOff>85725</xdr:colOff>
      <xdr:row>31</xdr:row>
      <xdr:rowOff>238125</xdr:rowOff>
    </xdr:to>
    <xdr:sp macro="" textlink="">
      <xdr:nvSpPr>
        <xdr:cNvPr id="1101" name="Text Box 11">
          <a:extLst>
            <a:ext uri="{FF2B5EF4-FFF2-40B4-BE49-F238E27FC236}">
              <a16:creationId xmlns="" xmlns:a16="http://schemas.microsoft.com/office/drawing/2014/main" id="{00000000-0008-0000-0200-00004D040000}"/>
            </a:ext>
          </a:extLst>
        </xdr:cNvPr>
        <xdr:cNvSpPr txBox="1">
          <a:spLocks noChangeArrowheads="1"/>
        </xdr:cNvSpPr>
      </xdr:nvSpPr>
      <xdr:spPr bwMode="auto">
        <a:xfrm>
          <a:off x="5353050" y="425862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31</xdr:row>
      <xdr:rowOff>0</xdr:rowOff>
    </xdr:from>
    <xdr:to>
      <xdr:col>5</xdr:col>
      <xdr:colOff>85725</xdr:colOff>
      <xdr:row>31</xdr:row>
      <xdr:rowOff>238125</xdr:rowOff>
    </xdr:to>
    <xdr:sp macro="" textlink="">
      <xdr:nvSpPr>
        <xdr:cNvPr id="1102" name="Text Box 12">
          <a:extLst>
            <a:ext uri="{FF2B5EF4-FFF2-40B4-BE49-F238E27FC236}">
              <a16:creationId xmlns="" xmlns:a16="http://schemas.microsoft.com/office/drawing/2014/main" id="{00000000-0008-0000-0200-00004E040000}"/>
            </a:ext>
          </a:extLst>
        </xdr:cNvPr>
        <xdr:cNvSpPr txBox="1">
          <a:spLocks noChangeArrowheads="1"/>
        </xdr:cNvSpPr>
      </xdr:nvSpPr>
      <xdr:spPr bwMode="auto">
        <a:xfrm>
          <a:off x="5353050" y="425862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31</xdr:row>
      <xdr:rowOff>0</xdr:rowOff>
    </xdr:from>
    <xdr:to>
      <xdr:col>5</xdr:col>
      <xdr:colOff>85725</xdr:colOff>
      <xdr:row>31</xdr:row>
      <xdr:rowOff>238125</xdr:rowOff>
    </xdr:to>
    <xdr:sp macro="" textlink="">
      <xdr:nvSpPr>
        <xdr:cNvPr id="1103" name="Text Box 10">
          <a:extLst>
            <a:ext uri="{FF2B5EF4-FFF2-40B4-BE49-F238E27FC236}">
              <a16:creationId xmlns="" xmlns:a16="http://schemas.microsoft.com/office/drawing/2014/main" id="{00000000-0008-0000-0200-00004F040000}"/>
            </a:ext>
          </a:extLst>
        </xdr:cNvPr>
        <xdr:cNvSpPr txBox="1">
          <a:spLocks noChangeArrowheads="1"/>
        </xdr:cNvSpPr>
      </xdr:nvSpPr>
      <xdr:spPr bwMode="auto">
        <a:xfrm>
          <a:off x="5353050" y="425862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31</xdr:row>
      <xdr:rowOff>0</xdr:rowOff>
    </xdr:from>
    <xdr:to>
      <xdr:col>5</xdr:col>
      <xdr:colOff>85725</xdr:colOff>
      <xdr:row>31</xdr:row>
      <xdr:rowOff>238125</xdr:rowOff>
    </xdr:to>
    <xdr:sp macro="" textlink="">
      <xdr:nvSpPr>
        <xdr:cNvPr id="1104" name="Text Box 11">
          <a:extLst>
            <a:ext uri="{FF2B5EF4-FFF2-40B4-BE49-F238E27FC236}">
              <a16:creationId xmlns="" xmlns:a16="http://schemas.microsoft.com/office/drawing/2014/main" id="{00000000-0008-0000-0200-000050040000}"/>
            </a:ext>
          </a:extLst>
        </xdr:cNvPr>
        <xdr:cNvSpPr txBox="1">
          <a:spLocks noChangeArrowheads="1"/>
        </xdr:cNvSpPr>
      </xdr:nvSpPr>
      <xdr:spPr bwMode="auto">
        <a:xfrm>
          <a:off x="5353050" y="425862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31</xdr:row>
      <xdr:rowOff>0</xdr:rowOff>
    </xdr:from>
    <xdr:to>
      <xdr:col>5</xdr:col>
      <xdr:colOff>85725</xdr:colOff>
      <xdr:row>31</xdr:row>
      <xdr:rowOff>238125</xdr:rowOff>
    </xdr:to>
    <xdr:sp macro="" textlink="">
      <xdr:nvSpPr>
        <xdr:cNvPr id="1105" name="Text Box 12">
          <a:extLst>
            <a:ext uri="{FF2B5EF4-FFF2-40B4-BE49-F238E27FC236}">
              <a16:creationId xmlns="" xmlns:a16="http://schemas.microsoft.com/office/drawing/2014/main" id="{00000000-0008-0000-0200-000051040000}"/>
            </a:ext>
          </a:extLst>
        </xdr:cNvPr>
        <xdr:cNvSpPr txBox="1">
          <a:spLocks noChangeArrowheads="1"/>
        </xdr:cNvSpPr>
      </xdr:nvSpPr>
      <xdr:spPr bwMode="auto">
        <a:xfrm>
          <a:off x="5353050" y="42586275"/>
          <a:ext cx="762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106" name="Text Box 10">
          <a:extLst>
            <a:ext uri="{FF2B5EF4-FFF2-40B4-BE49-F238E27FC236}">
              <a16:creationId xmlns="" xmlns:a16="http://schemas.microsoft.com/office/drawing/2014/main" id="{00000000-0008-0000-0200-000052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107" name="Text Box 11">
          <a:extLst>
            <a:ext uri="{FF2B5EF4-FFF2-40B4-BE49-F238E27FC236}">
              <a16:creationId xmlns="" xmlns:a16="http://schemas.microsoft.com/office/drawing/2014/main" id="{00000000-0008-0000-0200-000053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108" name="Text Box 12">
          <a:extLst>
            <a:ext uri="{FF2B5EF4-FFF2-40B4-BE49-F238E27FC236}">
              <a16:creationId xmlns="" xmlns:a16="http://schemas.microsoft.com/office/drawing/2014/main" id="{00000000-0008-0000-0200-000054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109" name="Text Box 10">
          <a:extLst>
            <a:ext uri="{FF2B5EF4-FFF2-40B4-BE49-F238E27FC236}">
              <a16:creationId xmlns="" xmlns:a16="http://schemas.microsoft.com/office/drawing/2014/main" id="{00000000-0008-0000-0200-000055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110" name="Text Box 11">
          <a:extLst>
            <a:ext uri="{FF2B5EF4-FFF2-40B4-BE49-F238E27FC236}">
              <a16:creationId xmlns="" xmlns:a16="http://schemas.microsoft.com/office/drawing/2014/main" id="{00000000-0008-0000-0200-000056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111" name="Text Box 12">
          <a:extLst>
            <a:ext uri="{FF2B5EF4-FFF2-40B4-BE49-F238E27FC236}">
              <a16:creationId xmlns="" xmlns:a16="http://schemas.microsoft.com/office/drawing/2014/main" id="{00000000-0008-0000-0200-000057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112" name="Text Box 10">
          <a:extLst>
            <a:ext uri="{FF2B5EF4-FFF2-40B4-BE49-F238E27FC236}">
              <a16:creationId xmlns="" xmlns:a16="http://schemas.microsoft.com/office/drawing/2014/main" id="{00000000-0008-0000-0200-000058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113" name="Text Box 11">
          <a:extLst>
            <a:ext uri="{FF2B5EF4-FFF2-40B4-BE49-F238E27FC236}">
              <a16:creationId xmlns="" xmlns:a16="http://schemas.microsoft.com/office/drawing/2014/main" id="{00000000-0008-0000-0200-000059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114" name="Text Box 12">
          <a:extLst>
            <a:ext uri="{FF2B5EF4-FFF2-40B4-BE49-F238E27FC236}">
              <a16:creationId xmlns="" xmlns:a16="http://schemas.microsoft.com/office/drawing/2014/main" id="{00000000-0008-0000-0200-00005A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115" name="Text Box 10">
          <a:extLst>
            <a:ext uri="{FF2B5EF4-FFF2-40B4-BE49-F238E27FC236}">
              <a16:creationId xmlns="" xmlns:a16="http://schemas.microsoft.com/office/drawing/2014/main" id="{00000000-0008-0000-0200-00005B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116" name="Text Box 11">
          <a:extLst>
            <a:ext uri="{FF2B5EF4-FFF2-40B4-BE49-F238E27FC236}">
              <a16:creationId xmlns="" xmlns:a16="http://schemas.microsoft.com/office/drawing/2014/main" id="{00000000-0008-0000-0200-00005C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117" name="Text Box 12">
          <a:extLst>
            <a:ext uri="{FF2B5EF4-FFF2-40B4-BE49-F238E27FC236}">
              <a16:creationId xmlns="" xmlns:a16="http://schemas.microsoft.com/office/drawing/2014/main" id="{00000000-0008-0000-0200-00005D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118" name="Text Box 10">
          <a:extLst>
            <a:ext uri="{FF2B5EF4-FFF2-40B4-BE49-F238E27FC236}">
              <a16:creationId xmlns="" xmlns:a16="http://schemas.microsoft.com/office/drawing/2014/main" id="{00000000-0008-0000-0200-00005E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119" name="Text Box 11">
          <a:extLst>
            <a:ext uri="{FF2B5EF4-FFF2-40B4-BE49-F238E27FC236}">
              <a16:creationId xmlns="" xmlns:a16="http://schemas.microsoft.com/office/drawing/2014/main" id="{00000000-0008-0000-0200-00005F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120" name="Text Box 12">
          <a:extLst>
            <a:ext uri="{FF2B5EF4-FFF2-40B4-BE49-F238E27FC236}">
              <a16:creationId xmlns="" xmlns:a16="http://schemas.microsoft.com/office/drawing/2014/main" id="{00000000-0008-0000-0200-000060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121" name="Text Box 10">
          <a:extLst>
            <a:ext uri="{FF2B5EF4-FFF2-40B4-BE49-F238E27FC236}">
              <a16:creationId xmlns="" xmlns:a16="http://schemas.microsoft.com/office/drawing/2014/main" id="{00000000-0008-0000-0200-000061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122" name="Text Box 11">
          <a:extLst>
            <a:ext uri="{FF2B5EF4-FFF2-40B4-BE49-F238E27FC236}">
              <a16:creationId xmlns="" xmlns:a16="http://schemas.microsoft.com/office/drawing/2014/main" id="{00000000-0008-0000-0200-000062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123" name="Text Box 12">
          <a:extLst>
            <a:ext uri="{FF2B5EF4-FFF2-40B4-BE49-F238E27FC236}">
              <a16:creationId xmlns="" xmlns:a16="http://schemas.microsoft.com/office/drawing/2014/main" id="{00000000-0008-0000-0200-000063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124" name="Text Box 10">
          <a:extLst>
            <a:ext uri="{FF2B5EF4-FFF2-40B4-BE49-F238E27FC236}">
              <a16:creationId xmlns="" xmlns:a16="http://schemas.microsoft.com/office/drawing/2014/main" id="{00000000-0008-0000-0200-000064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125" name="Text Box 11">
          <a:extLst>
            <a:ext uri="{FF2B5EF4-FFF2-40B4-BE49-F238E27FC236}">
              <a16:creationId xmlns="" xmlns:a16="http://schemas.microsoft.com/office/drawing/2014/main" id="{00000000-0008-0000-0200-000065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126" name="Text Box 12">
          <a:extLst>
            <a:ext uri="{FF2B5EF4-FFF2-40B4-BE49-F238E27FC236}">
              <a16:creationId xmlns="" xmlns:a16="http://schemas.microsoft.com/office/drawing/2014/main" id="{00000000-0008-0000-0200-000066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127" name="Text Box 10">
          <a:extLst>
            <a:ext uri="{FF2B5EF4-FFF2-40B4-BE49-F238E27FC236}">
              <a16:creationId xmlns="" xmlns:a16="http://schemas.microsoft.com/office/drawing/2014/main" id="{00000000-0008-0000-0200-000067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128" name="Text Box 11">
          <a:extLst>
            <a:ext uri="{FF2B5EF4-FFF2-40B4-BE49-F238E27FC236}">
              <a16:creationId xmlns="" xmlns:a16="http://schemas.microsoft.com/office/drawing/2014/main" id="{00000000-0008-0000-0200-000068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129" name="Text Box 12">
          <a:extLst>
            <a:ext uri="{FF2B5EF4-FFF2-40B4-BE49-F238E27FC236}">
              <a16:creationId xmlns="" xmlns:a16="http://schemas.microsoft.com/office/drawing/2014/main" id="{00000000-0008-0000-0200-000069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130" name="Text Box 10">
          <a:extLst>
            <a:ext uri="{FF2B5EF4-FFF2-40B4-BE49-F238E27FC236}">
              <a16:creationId xmlns="" xmlns:a16="http://schemas.microsoft.com/office/drawing/2014/main" id="{00000000-0008-0000-0200-00006A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131" name="Text Box 11">
          <a:extLst>
            <a:ext uri="{FF2B5EF4-FFF2-40B4-BE49-F238E27FC236}">
              <a16:creationId xmlns="" xmlns:a16="http://schemas.microsoft.com/office/drawing/2014/main" id="{00000000-0008-0000-0200-00006B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132" name="Text Box 12">
          <a:extLst>
            <a:ext uri="{FF2B5EF4-FFF2-40B4-BE49-F238E27FC236}">
              <a16:creationId xmlns="" xmlns:a16="http://schemas.microsoft.com/office/drawing/2014/main" id="{00000000-0008-0000-0200-00006C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133" name="Text Box 10">
          <a:extLst>
            <a:ext uri="{FF2B5EF4-FFF2-40B4-BE49-F238E27FC236}">
              <a16:creationId xmlns="" xmlns:a16="http://schemas.microsoft.com/office/drawing/2014/main" id="{00000000-0008-0000-0200-00006D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134" name="Text Box 11">
          <a:extLst>
            <a:ext uri="{FF2B5EF4-FFF2-40B4-BE49-F238E27FC236}">
              <a16:creationId xmlns="" xmlns:a16="http://schemas.microsoft.com/office/drawing/2014/main" id="{00000000-0008-0000-0200-00006E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135" name="Text Box 12">
          <a:extLst>
            <a:ext uri="{FF2B5EF4-FFF2-40B4-BE49-F238E27FC236}">
              <a16:creationId xmlns="" xmlns:a16="http://schemas.microsoft.com/office/drawing/2014/main" id="{00000000-0008-0000-0200-00006F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136" name="Text Box 10">
          <a:extLst>
            <a:ext uri="{FF2B5EF4-FFF2-40B4-BE49-F238E27FC236}">
              <a16:creationId xmlns="" xmlns:a16="http://schemas.microsoft.com/office/drawing/2014/main" id="{00000000-0008-0000-0200-000070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137" name="Text Box 11">
          <a:extLst>
            <a:ext uri="{FF2B5EF4-FFF2-40B4-BE49-F238E27FC236}">
              <a16:creationId xmlns="" xmlns:a16="http://schemas.microsoft.com/office/drawing/2014/main" id="{00000000-0008-0000-0200-000071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138" name="Text Box 12">
          <a:extLst>
            <a:ext uri="{FF2B5EF4-FFF2-40B4-BE49-F238E27FC236}">
              <a16:creationId xmlns="" xmlns:a16="http://schemas.microsoft.com/office/drawing/2014/main" id="{00000000-0008-0000-0200-000072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139" name="Text Box 10">
          <a:extLst>
            <a:ext uri="{FF2B5EF4-FFF2-40B4-BE49-F238E27FC236}">
              <a16:creationId xmlns="" xmlns:a16="http://schemas.microsoft.com/office/drawing/2014/main" id="{00000000-0008-0000-0200-000073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140" name="Text Box 11">
          <a:extLst>
            <a:ext uri="{FF2B5EF4-FFF2-40B4-BE49-F238E27FC236}">
              <a16:creationId xmlns="" xmlns:a16="http://schemas.microsoft.com/office/drawing/2014/main" id="{00000000-0008-0000-0200-000074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141" name="Text Box 12">
          <a:extLst>
            <a:ext uri="{FF2B5EF4-FFF2-40B4-BE49-F238E27FC236}">
              <a16:creationId xmlns="" xmlns:a16="http://schemas.microsoft.com/office/drawing/2014/main" id="{00000000-0008-0000-0200-000075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142" name="Text Box 10">
          <a:extLst>
            <a:ext uri="{FF2B5EF4-FFF2-40B4-BE49-F238E27FC236}">
              <a16:creationId xmlns="" xmlns:a16="http://schemas.microsoft.com/office/drawing/2014/main" id="{00000000-0008-0000-0200-000076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143" name="Text Box 11">
          <a:extLst>
            <a:ext uri="{FF2B5EF4-FFF2-40B4-BE49-F238E27FC236}">
              <a16:creationId xmlns="" xmlns:a16="http://schemas.microsoft.com/office/drawing/2014/main" id="{00000000-0008-0000-0200-000077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144" name="Text Box 12">
          <a:extLst>
            <a:ext uri="{FF2B5EF4-FFF2-40B4-BE49-F238E27FC236}">
              <a16:creationId xmlns="" xmlns:a16="http://schemas.microsoft.com/office/drawing/2014/main" id="{00000000-0008-0000-0200-000078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145" name="Text Box 10">
          <a:extLst>
            <a:ext uri="{FF2B5EF4-FFF2-40B4-BE49-F238E27FC236}">
              <a16:creationId xmlns="" xmlns:a16="http://schemas.microsoft.com/office/drawing/2014/main" id="{00000000-0008-0000-0200-000079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146" name="Text Box 11">
          <a:extLst>
            <a:ext uri="{FF2B5EF4-FFF2-40B4-BE49-F238E27FC236}">
              <a16:creationId xmlns="" xmlns:a16="http://schemas.microsoft.com/office/drawing/2014/main" id="{00000000-0008-0000-0200-00007A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147" name="Text Box 12">
          <a:extLst>
            <a:ext uri="{FF2B5EF4-FFF2-40B4-BE49-F238E27FC236}">
              <a16:creationId xmlns="" xmlns:a16="http://schemas.microsoft.com/office/drawing/2014/main" id="{00000000-0008-0000-0200-00007B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148" name="Text Box 10">
          <a:extLst>
            <a:ext uri="{FF2B5EF4-FFF2-40B4-BE49-F238E27FC236}">
              <a16:creationId xmlns="" xmlns:a16="http://schemas.microsoft.com/office/drawing/2014/main" id="{00000000-0008-0000-0200-00007C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149" name="Text Box 11">
          <a:extLst>
            <a:ext uri="{FF2B5EF4-FFF2-40B4-BE49-F238E27FC236}">
              <a16:creationId xmlns="" xmlns:a16="http://schemas.microsoft.com/office/drawing/2014/main" id="{00000000-0008-0000-0200-00007D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150" name="Text Box 12">
          <a:extLst>
            <a:ext uri="{FF2B5EF4-FFF2-40B4-BE49-F238E27FC236}">
              <a16:creationId xmlns="" xmlns:a16="http://schemas.microsoft.com/office/drawing/2014/main" id="{00000000-0008-0000-0200-00007E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151" name="Text Box 10">
          <a:extLst>
            <a:ext uri="{FF2B5EF4-FFF2-40B4-BE49-F238E27FC236}">
              <a16:creationId xmlns="" xmlns:a16="http://schemas.microsoft.com/office/drawing/2014/main" id="{00000000-0008-0000-0200-00007F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152" name="Text Box 11">
          <a:extLst>
            <a:ext uri="{FF2B5EF4-FFF2-40B4-BE49-F238E27FC236}">
              <a16:creationId xmlns="" xmlns:a16="http://schemas.microsoft.com/office/drawing/2014/main" id="{00000000-0008-0000-0200-000080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153" name="Text Box 12">
          <a:extLst>
            <a:ext uri="{FF2B5EF4-FFF2-40B4-BE49-F238E27FC236}">
              <a16:creationId xmlns="" xmlns:a16="http://schemas.microsoft.com/office/drawing/2014/main" id="{00000000-0008-0000-0200-000081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154" name="Text Box 10">
          <a:extLst>
            <a:ext uri="{FF2B5EF4-FFF2-40B4-BE49-F238E27FC236}">
              <a16:creationId xmlns="" xmlns:a16="http://schemas.microsoft.com/office/drawing/2014/main" id="{00000000-0008-0000-0200-000082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155" name="Text Box 11">
          <a:extLst>
            <a:ext uri="{FF2B5EF4-FFF2-40B4-BE49-F238E27FC236}">
              <a16:creationId xmlns="" xmlns:a16="http://schemas.microsoft.com/office/drawing/2014/main" id="{00000000-0008-0000-0200-000083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156" name="Text Box 12">
          <a:extLst>
            <a:ext uri="{FF2B5EF4-FFF2-40B4-BE49-F238E27FC236}">
              <a16:creationId xmlns="" xmlns:a16="http://schemas.microsoft.com/office/drawing/2014/main" id="{00000000-0008-0000-0200-000084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157" name="Text Box 10">
          <a:extLst>
            <a:ext uri="{FF2B5EF4-FFF2-40B4-BE49-F238E27FC236}">
              <a16:creationId xmlns="" xmlns:a16="http://schemas.microsoft.com/office/drawing/2014/main" id="{00000000-0008-0000-0200-000085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158" name="Text Box 11">
          <a:extLst>
            <a:ext uri="{FF2B5EF4-FFF2-40B4-BE49-F238E27FC236}">
              <a16:creationId xmlns="" xmlns:a16="http://schemas.microsoft.com/office/drawing/2014/main" id="{00000000-0008-0000-0200-000086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159" name="Text Box 12">
          <a:extLst>
            <a:ext uri="{FF2B5EF4-FFF2-40B4-BE49-F238E27FC236}">
              <a16:creationId xmlns="" xmlns:a16="http://schemas.microsoft.com/office/drawing/2014/main" id="{00000000-0008-0000-0200-000087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160" name="Text Box 10">
          <a:extLst>
            <a:ext uri="{FF2B5EF4-FFF2-40B4-BE49-F238E27FC236}">
              <a16:creationId xmlns="" xmlns:a16="http://schemas.microsoft.com/office/drawing/2014/main" id="{00000000-0008-0000-0200-000088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161" name="Text Box 11">
          <a:extLst>
            <a:ext uri="{FF2B5EF4-FFF2-40B4-BE49-F238E27FC236}">
              <a16:creationId xmlns="" xmlns:a16="http://schemas.microsoft.com/office/drawing/2014/main" id="{00000000-0008-0000-0200-000089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162" name="Text Box 12">
          <a:extLst>
            <a:ext uri="{FF2B5EF4-FFF2-40B4-BE49-F238E27FC236}">
              <a16:creationId xmlns="" xmlns:a16="http://schemas.microsoft.com/office/drawing/2014/main" id="{00000000-0008-0000-0200-00008A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163" name="Text Box 10">
          <a:extLst>
            <a:ext uri="{FF2B5EF4-FFF2-40B4-BE49-F238E27FC236}">
              <a16:creationId xmlns="" xmlns:a16="http://schemas.microsoft.com/office/drawing/2014/main" id="{00000000-0008-0000-0200-00008B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164" name="Text Box 11">
          <a:extLst>
            <a:ext uri="{FF2B5EF4-FFF2-40B4-BE49-F238E27FC236}">
              <a16:creationId xmlns="" xmlns:a16="http://schemas.microsoft.com/office/drawing/2014/main" id="{00000000-0008-0000-0200-00008C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165" name="Text Box 12">
          <a:extLst>
            <a:ext uri="{FF2B5EF4-FFF2-40B4-BE49-F238E27FC236}">
              <a16:creationId xmlns="" xmlns:a16="http://schemas.microsoft.com/office/drawing/2014/main" id="{00000000-0008-0000-0200-00008D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166" name="Text Box 10">
          <a:extLst>
            <a:ext uri="{FF2B5EF4-FFF2-40B4-BE49-F238E27FC236}">
              <a16:creationId xmlns="" xmlns:a16="http://schemas.microsoft.com/office/drawing/2014/main" id="{00000000-0008-0000-0200-00008E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167" name="Text Box 11">
          <a:extLst>
            <a:ext uri="{FF2B5EF4-FFF2-40B4-BE49-F238E27FC236}">
              <a16:creationId xmlns="" xmlns:a16="http://schemas.microsoft.com/office/drawing/2014/main" id="{00000000-0008-0000-0200-00008F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168" name="Text Box 12">
          <a:extLst>
            <a:ext uri="{FF2B5EF4-FFF2-40B4-BE49-F238E27FC236}">
              <a16:creationId xmlns="" xmlns:a16="http://schemas.microsoft.com/office/drawing/2014/main" id="{00000000-0008-0000-0200-000090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169" name="Text Box 10">
          <a:extLst>
            <a:ext uri="{FF2B5EF4-FFF2-40B4-BE49-F238E27FC236}">
              <a16:creationId xmlns="" xmlns:a16="http://schemas.microsoft.com/office/drawing/2014/main" id="{00000000-0008-0000-0200-000091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170" name="Text Box 11">
          <a:extLst>
            <a:ext uri="{FF2B5EF4-FFF2-40B4-BE49-F238E27FC236}">
              <a16:creationId xmlns="" xmlns:a16="http://schemas.microsoft.com/office/drawing/2014/main" id="{00000000-0008-0000-0200-000092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171" name="Text Box 12">
          <a:extLst>
            <a:ext uri="{FF2B5EF4-FFF2-40B4-BE49-F238E27FC236}">
              <a16:creationId xmlns="" xmlns:a16="http://schemas.microsoft.com/office/drawing/2014/main" id="{00000000-0008-0000-0200-000093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172" name="Text Box 10">
          <a:extLst>
            <a:ext uri="{FF2B5EF4-FFF2-40B4-BE49-F238E27FC236}">
              <a16:creationId xmlns="" xmlns:a16="http://schemas.microsoft.com/office/drawing/2014/main" id="{00000000-0008-0000-0200-000094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173" name="Text Box 11">
          <a:extLst>
            <a:ext uri="{FF2B5EF4-FFF2-40B4-BE49-F238E27FC236}">
              <a16:creationId xmlns="" xmlns:a16="http://schemas.microsoft.com/office/drawing/2014/main" id="{00000000-0008-0000-0200-000095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174" name="Text Box 12">
          <a:extLst>
            <a:ext uri="{FF2B5EF4-FFF2-40B4-BE49-F238E27FC236}">
              <a16:creationId xmlns="" xmlns:a16="http://schemas.microsoft.com/office/drawing/2014/main" id="{00000000-0008-0000-0200-000096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175" name="Text Box 10">
          <a:extLst>
            <a:ext uri="{FF2B5EF4-FFF2-40B4-BE49-F238E27FC236}">
              <a16:creationId xmlns="" xmlns:a16="http://schemas.microsoft.com/office/drawing/2014/main" id="{00000000-0008-0000-0200-000097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176" name="Text Box 11">
          <a:extLst>
            <a:ext uri="{FF2B5EF4-FFF2-40B4-BE49-F238E27FC236}">
              <a16:creationId xmlns="" xmlns:a16="http://schemas.microsoft.com/office/drawing/2014/main" id="{00000000-0008-0000-0200-000098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177" name="Text Box 12">
          <a:extLst>
            <a:ext uri="{FF2B5EF4-FFF2-40B4-BE49-F238E27FC236}">
              <a16:creationId xmlns="" xmlns:a16="http://schemas.microsoft.com/office/drawing/2014/main" id="{00000000-0008-0000-0200-000099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178" name="Text Box 10">
          <a:extLst>
            <a:ext uri="{FF2B5EF4-FFF2-40B4-BE49-F238E27FC236}">
              <a16:creationId xmlns="" xmlns:a16="http://schemas.microsoft.com/office/drawing/2014/main" id="{00000000-0008-0000-0200-00009A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179" name="Text Box 11">
          <a:extLst>
            <a:ext uri="{FF2B5EF4-FFF2-40B4-BE49-F238E27FC236}">
              <a16:creationId xmlns="" xmlns:a16="http://schemas.microsoft.com/office/drawing/2014/main" id="{00000000-0008-0000-0200-00009B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180" name="Text Box 12">
          <a:extLst>
            <a:ext uri="{FF2B5EF4-FFF2-40B4-BE49-F238E27FC236}">
              <a16:creationId xmlns="" xmlns:a16="http://schemas.microsoft.com/office/drawing/2014/main" id="{00000000-0008-0000-0200-00009C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181" name="Text Box 10">
          <a:extLst>
            <a:ext uri="{FF2B5EF4-FFF2-40B4-BE49-F238E27FC236}">
              <a16:creationId xmlns="" xmlns:a16="http://schemas.microsoft.com/office/drawing/2014/main" id="{00000000-0008-0000-0200-00009D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182" name="Text Box 11">
          <a:extLst>
            <a:ext uri="{FF2B5EF4-FFF2-40B4-BE49-F238E27FC236}">
              <a16:creationId xmlns="" xmlns:a16="http://schemas.microsoft.com/office/drawing/2014/main" id="{00000000-0008-0000-0200-00009E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183" name="Text Box 12">
          <a:extLst>
            <a:ext uri="{FF2B5EF4-FFF2-40B4-BE49-F238E27FC236}">
              <a16:creationId xmlns="" xmlns:a16="http://schemas.microsoft.com/office/drawing/2014/main" id="{00000000-0008-0000-0200-00009F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184" name="Text Box 10">
          <a:extLst>
            <a:ext uri="{FF2B5EF4-FFF2-40B4-BE49-F238E27FC236}">
              <a16:creationId xmlns="" xmlns:a16="http://schemas.microsoft.com/office/drawing/2014/main" id="{00000000-0008-0000-0200-0000A0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185" name="Text Box 11">
          <a:extLst>
            <a:ext uri="{FF2B5EF4-FFF2-40B4-BE49-F238E27FC236}">
              <a16:creationId xmlns="" xmlns:a16="http://schemas.microsoft.com/office/drawing/2014/main" id="{00000000-0008-0000-0200-0000A1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186" name="Text Box 12">
          <a:extLst>
            <a:ext uri="{FF2B5EF4-FFF2-40B4-BE49-F238E27FC236}">
              <a16:creationId xmlns="" xmlns:a16="http://schemas.microsoft.com/office/drawing/2014/main" id="{00000000-0008-0000-0200-0000A2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187" name="Text Box 10">
          <a:extLst>
            <a:ext uri="{FF2B5EF4-FFF2-40B4-BE49-F238E27FC236}">
              <a16:creationId xmlns="" xmlns:a16="http://schemas.microsoft.com/office/drawing/2014/main" id="{00000000-0008-0000-0200-0000A3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188" name="Text Box 11">
          <a:extLst>
            <a:ext uri="{FF2B5EF4-FFF2-40B4-BE49-F238E27FC236}">
              <a16:creationId xmlns="" xmlns:a16="http://schemas.microsoft.com/office/drawing/2014/main" id="{00000000-0008-0000-0200-0000A4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189" name="Text Box 12">
          <a:extLst>
            <a:ext uri="{FF2B5EF4-FFF2-40B4-BE49-F238E27FC236}">
              <a16:creationId xmlns="" xmlns:a16="http://schemas.microsoft.com/office/drawing/2014/main" id="{00000000-0008-0000-0200-0000A5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190" name="Text Box 10">
          <a:extLst>
            <a:ext uri="{FF2B5EF4-FFF2-40B4-BE49-F238E27FC236}">
              <a16:creationId xmlns="" xmlns:a16="http://schemas.microsoft.com/office/drawing/2014/main" id="{00000000-0008-0000-0200-0000A6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191" name="Text Box 11">
          <a:extLst>
            <a:ext uri="{FF2B5EF4-FFF2-40B4-BE49-F238E27FC236}">
              <a16:creationId xmlns="" xmlns:a16="http://schemas.microsoft.com/office/drawing/2014/main" id="{00000000-0008-0000-0200-0000A7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192" name="Text Box 12">
          <a:extLst>
            <a:ext uri="{FF2B5EF4-FFF2-40B4-BE49-F238E27FC236}">
              <a16:creationId xmlns="" xmlns:a16="http://schemas.microsoft.com/office/drawing/2014/main" id="{00000000-0008-0000-0200-0000A8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193" name="Text Box 10">
          <a:extLst>
            <a:ext uri="{FF2B5EF4-FFF2-40B4-BE49-F238E27FC236}">
              <a16:creationId xmlns="" xmlns:a16="http://schemas.microsoft.com/office/drawing/2014/main" id="{00000000-0008-0000-0200-0000A9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194" name="Text Box 11">
          <a:extLst>
            <a:ext uri="{FF2B5EF4-FFF2-40B4-BE49-F238E27FC236}">
              <a16:creationId xmlns="" xmlns:a16="http://schemas.microsoft.com/office/drawing/2014/main" id="{00000000-0008-0000-0200-0000AA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195" name="Text Box 12">
          <a:extLst>
            <a:ext uri="{FF2B5EF4-FFF2-40B4-BE49-F238E27FC236}">
              <a16:creationId xmlns="" xmlns:a16="http://schemas.microsoft.com/office/drawing/2014/main" id="{00000000-0008-0000-0200-0000AB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196" name="Text Box 10">
          <a:extLst>
            <a:ext uri="{FF2B5EF4-FFF2-40B4-BE49-F238E27FC236}">
              <a16:creationId xmlns="" xmlns:a16="http://schemas.microsoft.com/office/drawing/2014/main" id="{00000000-0008-0000-0200-0000AC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197" name="Text Box 11">
          <a:extLst>
            <a:ext uri="{FF2B5EF4-FFF2-40B4-BE49-F238E27FC236}">
              <a16:creationId xmlns="" xmlns:a16="http://schemas.microsoft.com/office/drawing/2014/main" id="{00000000-0008-0000-0200-0000AD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198" name="Text Box 12">
          <a:extLst>
            <a:ext uri="{FF2B5EF4-FFF2-40B4-BE49-F238E27FC236}">
              <a16:creationId xmlns="" xmlns:a16="http://schemas.microsoft.com/office/drawing/2014/main" id="{00000000-0008-0000-0200-0000AE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199" name="Text Box 10">
          <a:extLst>
            <a:ext uri="{FF2B5EF4-FFF2-40B4-BE49-F238E27FC236}">
              <a16:creationId xmlns="" xmlns:a16="http://schemas.microsoft.com/office/drawing/2014/main" id="{00000000-0008-0000-0200-0000AF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200" name="Text Box 11">
          <a:extLst>
            <a:ext uri="{FF2B5EF4-FFF2-40B4-BE49-F238E27FC236}">
              <a16:creationId xmlns="" xmlns:a16="http://schemas.microsoft.com/office/drawing/2014/main" id="{00000000-0008-0000-0200-0000B0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201" name="Text Box 12">
          <a:extLst>
            <a:ext uri="{FF2B5EF4-FFF2-40B4-BE49-F238E27FC236}">
              <a16:creationId xmlns="" xmlns:a16="http://schemas.microsoft.com/office/drawing/2014/main" id="{00000000-0008-0000-0200-0000B1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202" name="Text Box 10">
          <a:extLst>
            <a:ext uri="{FF2B5EF4-FFF2-40B4-BE49-F238E27FC236}">
              <a16:creationId xmlns="" xmlns:a16="http://schemas.microsoft.com/office/drawing/2014/main" id="{00000000-0008-0000-0200-0000B2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203" name="Text Box 11">
          <a:extLst>
            <a:ext uri="{FF2B5EF4-FFF2-40B4-BE49-F238E27FC236}">
              <a16:creationId xmlns="" xmlns:a16="http://schemas.microsoft.com/office/drawing/2014/main" id="{00000000-0008-0000-0200-0000B3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204" name="Text Box 12">
          <a:extLst>
            <a:ext uri="{FF2B5EF4-FFF2-40B4-BE49-F238E27FC236}">
              <a16:creationId xmlns="" xmlns:a16="http://schemas.microsoft.com/office/drawing/2014/main" id="{00000000-0008-0000-0200-0000B4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205" name="Text Box 10">
          <a:extLst>
            <a:ext uri="{FF2B5EF4-FFF2-40B4-BE49-F238E27FC236}">
              <a16:creationId xmlns="" xmlns:a16="http://schemas.microsoft.com/office/drawing/2014/main" id="{00000000-0008-0000-0200-0000B5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206" name="Text Box 11">
          <a:extLst>
            <a:ext uri="{FF2B5EF4-FFF2-40B4-BE49-F238E27FC236}">
              <a16:creationId xmlns="" xmlns:a16="http://schemas.microsoft.com/office/drawing/2014/main" id="{00000000-0008-0000-0200-0000B6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207" name="Text Box 12">
          <a:extLst>
            <a:ext uri="{FF2B5EF4-FFF2-40B4-BE49-F238E27FC236}">
              <a16:creationId xmlns="" xmlns:a16="http://schemas.microsoft.com/office/drawing/2014/main" id="{00000000-0008-0000-0200-0000B7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208" name="Text Box 10">
          <a:extLst>
            <a:ext uri="{FF2B5EF4-FFF2-40B4-BE49-F238E27FC236}">
              <a16:creationId xmlns="" xmlns:a16="http://schemas.microsoft.com/office/drawing/2014/main" id="{00000000-0008-0000-0200-0000B8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209" name="Text Box 11">
          <a:extLst>
            <a:ext uri="{FF2B5EF4-FFF2-40B4-BE49-F238E27FC236}">
              <a16:creationId xmlns="" xmlns:a16="http://schemas.microsoft.com/office/drawing/2014/main" id="{00000000-0008-0000-0200-0000B9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210" name="Text Box 12">
          <a:extLst>
            <a:ext uri="{FF2B5EF4-FFF2-40B4-BE49-F238E27FC236}">
              <a16:creationId xmlns="" xmlns:a16="http://schemas.microsoft.com/office/drawing/2014/main" id="{00000000-0008-0000-0200-0000BA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211" name="Text Box 10">
          <a:extLst>
            <a:ext uri="{FF2B5EF4-FFF2-40B4-BE49-F238E27FC236}">
              <a16:creationId xmlns="" xmlns:a16="http://schemas.microsoft.com/office/drawing/2014/main" id="{00000000-0008-0000-0200-0000BB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212" name="Text Box 11">
          <a:extLst>
            <a:ext uri="{FF2B5EF4-FFF2-40B4-BE49-F238E27FC236}">
              <a16:creationId xmlns="" xmlns:a16="http://schemas.microsoft.com/office/drawing/2014/main" id="{00000000-0008-0000-0200-0000BC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213" name="Text Box 12">
          <a:extLst>
            <a:ext uri="{FF2B5EF4-FFF2-40B4-BE49-F238E27FC236}">
              <a16:creationId xmlns="" xmlns:a16="http://schemas.microsoft.com/office/drawing/2014/main" id="{00000000-0008-0000-0200-0000BD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214" name="Text Box 10">
          <a:extLst>
            <a:ext uri="{FF2B5EF4-FFF2-40B4-BE49-F238E27FC236}">
              <a16:creationId xmlns="" xmlns:a16="http://schemas.microsoft.com/office/drawing/2014/main" id="{00000000-0008-0000-0200-0000BE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215" name="Text Box 11">
          <a:extLst>
            <a:ext uri="{FF2B5EF4-FFF2-40B4-BE49-F238E27FC236}">
              <a16:creationId xmlns="" xmlns:a16="http://schemas.microsoft.com/office/drawing/2014/main" id="{00000000-0008-0000-0200-0000BF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216" name="Text Box 12">
          <a:extLst>
            <a:ext uri="{FF2B5EF4-FFF2-40B4-BE49-F238E27FC236}">
              <a16:creationId xmlns="" xmlns:a16="http://schemas.microsoft.com/office/drawing/2014/main" id="{00000000-0008-0000-0200-0000C0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217" name="Text Box 10">
          <a:extLst>
            <a:ext uri="{FF2B5EF4-FFF2-40B4-BE49-F238E27FC236}">
              <a16:creationId xmlns="" xmlns:a16="http://schemas.microsoft.com/office/drawing/2014/main" id="{00000000-0008-0000-0200-0000C1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218" name="Text Box 11">
          <a:extLst>
            <a:ext uri="{FF2B5EF4-FFF2-40B4-BE49-F238E27FC236}">
              <a16:creationId xmlns="" xmlns:a16="http://schemas.microsoft.com/office/drawing/2014/main" id="{00000000-0008-0000-0200-0000C2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219" name="Text Box 12">
          <a:extLst>
            <a:ext uri="{FF2B5EF4-FFF2-40B4-BE49-F238E27FC236}">
              <a16:creationId xmlns="" xmlns:a16="http://schemas.microsoft.com/office/drawing/2014/main" id="{00000000-0008-0000-0200-0000C3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220" name="Text Box 10">
          <a:extLst>
            <a:ext uri="{FF2B5EF4-FFF2-40B4-BE49-F238E27FC236}">
              <a16:creationId xmlns="" xmlns:a16="http://schemas.microsoft.com/office/drawing/2014/main" id="{00000000-0008-0000-0200-0000C4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221" name="Text Box 11">
          <a:extLst>
            <a:ext uri="{FF2B5EF4-FFF2-40B4-BE49-F238E27FC236}">
              <a16:creationId xmlns="" xmlns:a16="http://schemas.microsoft.com/office/drawing/2014/main" id="{00000000-0008-0000-0200-0000C5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222" name="Text Box 12">
          <a:extLst>
            <a:ext uri="{FF2B5EF4-FFF2-40B4-BE49-F238E27FC236}">
              <a16:creationId xmlns="" xmlns:a16="http://schemas.microsoft.com/office/drawing/2014/main" id="{00000000-0008-0000-0200-0000C6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223" name="Text Box 10">
          <a:extLst>
            <a:ext uri="{FF2B5EF4-FFF2-40B4-BE49-F238E27FC236}">
              <a16:creationId xmlns="" xmlns:a16="http://schemas.microsoft.com/office/drawing/2014/main" id="{00000000-0008-0000-0200-0000C7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224" name="Text Box 11">
          <a:extLst>
            <a:ext uri="{FF2B5EF4-FFF2-40B4-BE49-F238E27FC236}">
              <a16:creationId xmlns="" xmlns:a16="http://schemas.microsoft.com/office/drawing/2014/main" id="{00000000-0008-0000-0200-0000C8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225" name="Text Box 12">
          <a:extLst>
            <a:ext uri="{FF2B5EF4-FFF2-40B4-BE49-F238E27FC236}">
              <a16:creationId xmlns="" xmlns:a16="http://schemas.microsoft.com/office/drawing/2014/main" id="{00000000-0008-0000-0200-0000C9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226" name="Text Box 10">
          <a:extLst>
            <a:ext uri="{FF2B5EF4-FFF2-40B4-BE49-F238E27FC236}">
              <a16:creationId xmlns="" xmlns:a16="http://schemas.microsoft.com/office/drawing/2014/main" id="{00000000-0008-0000-0200-0000CA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227" name="Text Box 11">
          <a:extLst>
            <a:ext uri="{FF2B5EF4-FFF2-40B4-BE49-F238E27FC236}">
              <a16:creationId xmlns="" xmlns:a16="http://schemas.microsoft.com/office/drawing/2014/main" id="{00000000-0008-0000-0200-0000CB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228" name="Text Box 12">
          <a:extLst>
            <a:ext uri="{FF2B5EF4-FFF2-40B4-BE49-F238E27FC236}">
              <a16:creationId xmlns="" xmlns:a16="http://schemas.microsoft.com/office/drawing/2014/main" id="{00000000-0008-0000-0200-0000CC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229" name="Text Box 10">
          <a:extLst>
            <a:ext uri="{FF2B5EF4-FFF2-40B4-BE49-F238E27FC236}">
              <a16:creationId xmlns="" xmlns:a16="http://schemas.microsoft.com/office/drawing/2014/main" id="{00000000-0008-0000-0200-0000CD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230" name="Text Box 11">
          <a:extLst>
            <a:ext uri="{FF2B5EF4-FFF2-40B4-BE49-F238E27FC236}">
              <a16:creationId xmlns="" xmlns:a16="http://schemas.microsoft.com/office/drawing/2014/main" id="{00000000-0008-0000-0200-0000CE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231" name="Text Box 12">
          <a:extLst>
            <a:ext uri="{FF2B5EF4-FFF2-40B4-BE49-F238E27FC236}">
              <a16:creationId xmlns="" xmlns:a16="http://schemas.microsoft.com/office/drawing/2014/main" id="{00000000-0008-0000-0200-0000CF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232" name="Text Box 10">
          <a:extLst>
            <a:ext uri="{FF2B5EF4-FFF2-40B4-BE49-F238E27FC236}">
              <a16:creationId xmlns="" xmlns:a16="http://schemas.microsoft.com/office/drawing/2014/main" id="{00000000-0008-0000-0200-0000D0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233" name="Text Box 11">
          <a:extLst>
            <a:ext uri="{FF2B5EF4-FFF2-40B4-BE49-F238E27FC236}">
              <a16:creationId xmlns="" xmlns:a16="http://schemas.microsoft.com/office/drawing/2014/main" id="{00000000-0008-0000-0200-0000D1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234" name="Text Box 12">
          <a:extLst>
            <a:ext uri="{FF2B5EF4-FFF2-40B4-BE49-F238E27FC236}">
              <a16:creationId xmlns="" xmlns:a16="http://schemas.microsoft.com/office/drawing/2014/main" id="{00000000-0008-0000-0200-0000D2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235" name="Text Box 10">
          <a:extLst>
            <a:ext uri="{FF2B5EF4-FFF2-40B4-BE49-F238E27FC236}">
              <a16:creationId xmlns="" xmlns:a16="http://schemas.microsoft.com/office/drawing/2014/main" id="{00000000-0008-0000-0200-0000D3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236" name="Text Box 11">
          <a:extLst>
            <a:ext uri="{FF2B5EF4-FFF2-40B4-BE49-F238E27FC236}">
              <a16:creationId xmlns="" xmlns:a16="http://schemas.microsoft.com/office/drawing/2014/main" id="{00000000-0008-0000-0200-0000D4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237" name="Text Box 12">
          <a:extLst>
            <a:ext uri="{FF2B5EF4-FFF2-40B4-BE49-F238E27FC236}">
              <a16:creationId xmlns="" xmlns:a16="http://schemas.microsoft.com/office/drawing/2014/main" id="{00000000-0008-0000-0200-0000D5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238" name="Text Box 10">
          <a:extLst>
            <a:ext uri="{FF2B5EF4-FFF2-40B4-BE49-F238E27FC236}">
              <a16:creationId xmlns="" xmlns:a16="http://schemas.microsoft.com/office/drawing/2014/main" id="{00000000-0008-0000-0200-0000D6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239" name="Text Box 11">
          <a:extLst>
            <a:ext uri="{FF2B5EF4-FFF2-40B4-BE49-F238E27FC236}">
              <a16:creationId xmlns="" xmlns:a16="http://schemas.microsoft.com/office/drawing/2014/main" id="{00000000-0008-0000-0200-0000D7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240" name="Text Box 12">
          <a:extLst>
            <a:ext uri="{FF2B5EF4-FFF2-40B4-BE49-F238E27FC236}">
              <a16:creationId xmlns="" xmlns:a16="http://schemas.microsoft.com/office/drawing/2014/main" id="{00000000-0008-0000-0200-0000D8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241" name="Text Box 10">
          <a:extLst>
            <a:ext uri="{FF2B5EF4-FFF2-40B4-BE49-F238E27FC236}">
              <a16:creationId xmlns="" xmlns:a16="http://schemas.microsoft.com/office/drawing/2014/main" id="{00000000-0008-0000-0200-0000D9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242" name="Text Box 11">
          <a:extLst>
            <a:ext uri="{FF2B5EF4-FFF2-40B4-BE49-F238E27FC236}">
              <a16:creationId xmlns="" xmlns:a16="http://schemas.microsoft.com/office/drawing/2014/main" id="{00000000-0008-0000-0200-0000DA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243" name="Text Box 12">
          <a:extLst>
            <a:ext uri="{FF2B5EF4-FFF2-40B4-BE49-F238E27FC236}">
              <a16:creationId xmlns="" xmlns:a16="http://schemas.microsoft.com/office/drawing/2014/main" id="{00000000-0008-0000-0200-0000DB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244" name="Text Box 10">
          <a:extLst>
            <a:ext uri="{FF2B5EF4-FFF2-40B4-BE49-F238E27FC236}">
              <a16:creationId xmlns="" xmlns:a16="http://schemas.microsoft.com/office/drawing/2014/main" id="{00000000-0008-0000-0200-0000DC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245" name="Text Box 11">
          <a:extLst>
            <a:ext uri="{FF2B5EF4-FFF2-40B4-BE49-F238E27FC236}">
              <a16:creationId xmlns="" xmlns:a16="http://schemas.microsoft.com/office/drawing/2014/main" id="{00000000-0008-0000-0200-0000DD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246" name="Text Box 12">
          <a:extLst>
            <a:ext uri="{FF2B5EF4-FFF2-40B4-BE49-F238E27FC236}">
              <a16:creationId xmlns="" xmlns:a16="http://schemas.microsoft.com/office/drawing/2014/main" id="{00000000-0008-0000-0200-0000DE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247" name="Text Box 10">
          <a:extLst>
            <a:ext uri="{FF2B5EF4-FFF2-40B4-BE49-F238E27FC236}">
              <a16:creationId xmlns="" xmlns:a16="http://schemas.microsoft.com/office/drawing/2014/main" id="{00000000-0008-0000-0200-0000DF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248" name="Text Box 11">
          <a:extLst>
            <a:ext uri="{FF2B5EF4-FFF2-40B4-BE49-F238E27FC236}">
              <a16:creationId xmlns="" xmlns:a16="http://schemas.microsoft.com/office/drawing/2014/main" id="{00000000-0008-0000-0200-0000E0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38101</xdr:rowOff>
    </xdr:to>
    <xdr:sp macro="" textlink="">
      <xdr:nvSpPr>
        <xdr:cNvPr id="1249" name="Text Box 12">
          <a:extLst>
            <a:ext uri="{FF2B5EF4-FFF2-40B4-BE49-F238E27FC236}">
              <a16:creationId xmlns="" xmlns:a16="http://schemas.microsoft.com/office/drawing/2014/main" id="{00000000-0008-0000-0200-0000E1040000}"/>
            </a:ext>
          </a:extLst>
        </xdr:cNvPr>
        <xdr:cNvSpPr txBox="1">
          <a:spLocks noChangeArrowheads="1"/>
        </xdr:cNvSpPr>
      </xdr:nvSpPr>
      <xdr:spPr bwMode="auto">
        <a:xfrm>
          <a:off x="3162300" y="43186350"/>
          <a:ext cx="95250" cy="10382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250" name="Text Box 10">
          <a:extLst>
            <a:ext uri="{FF2B5EF4-FFF2-40B4-BE49-F238E27FC236}">
              <a16:creationId xmlns="" xmlns:a16="http://schemas.microsoft.com/office/drawing/2014/main" id="{00000000-0008-0000-0200-0000E204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251" name="Text Box 11">
          <a:extLst>
            <a:ext uri="{FF2B5EF4-FFF2-40B4-BE49-F238E27FC236}">
              <a16:creationId xmlns="" xmlns:a16="http://schemas.microsoft.com/office/drawing/2014/main" id="{00000000-0008-0000-0200-0000E304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252" name="Text Box 12">
          <a:extLst>
            <a:ext uri="{FF2B5EF4-FFF2-40B4-BE49-F238E27FC236}">
              <a16:creationId xmlns="" xmlns:a16="http://schemas.microsoft.com/office/drawing/2014/main" id="{00000000-0008-0000-0200-0000E404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253" name="Text Box 10">
          <a:extLst>
            <a:ext uri="{FF2B5EF4-FFF2-40B4-BE49-F238E27FC236}">
              <a16:creationId xmlns="" xmlns:a16="http://schemas.microsoft.com/office/drawing/2014/main" id="{00000000-0008-0000-0200-0000E504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254" name="Text Box 11">
          <a:extLst>
            <a:ext uri="{FF2B5EF4-FFF2-40B4-BE49-F238E27FC236}">
              <a16:creationId xmlns="" xmlns:a16="http://schemas.microsoft.com/office/drawing/2014/main" id="{00000000-0008-0000-0200-0000E604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255" name="Text Box 12">
          <a:extLst>
            <a:ext uri="{FF2B5EF4-FFF2-40B4-BE49-F238E27FC236}">
              <a16:creationId xmlns="" xmlns:a16="http://schemas.microsoft.com/office/drawing/2014/main" id="{00000000-0008-0000-0200-0000E704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256" name="Text Box 10">
          <a:extLst>
            <a:ext uri="{FF2B5EF4-FFF2-40B4-BE49-F238E27FC236}">
              <a16:creationId xmlns="" xmlns:a16="http://schemas.microsoft.com/office/drawing/2014/main" id="{00000000-0008-0000-0200-0000E804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257" name="Text Box 11">
          <a:extLst>
            <a:ext uri="{FF2B5EF4-FFF2-40B4-BE49-F238E27FC236}">
              <a16:creationId xmlns="" xmlns:a16="http://schemas.microsoft.com/office/drawing/2014/main" id="{00000000-0008-0000-0200-0000E904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258" name="Text Box 12">
          <a:extLst>
            <a:ext uri="{FF2B5EF4-FFF2-40B4-BE49-F238E27FC236}">
              <a16:creationId xmlns="" xmlns:a16="http://schemas.microsoft.com/office/drawing/2014/main" id="{00000000-0008-0000-0200-0000EA04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259" name="Text Box 10">
          <a:extLst>
            <a:ext uri="{FF2B5EF4-FFF2-40B4-BE49-F238E27FC236}">
              <a16:creationId xmlns="" xmlns:a16="http://schemas.microsoft.com/office/drawing/2014/main" id="{00000000-0008-0000-0200-0000EB04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260" name="Text Box 11">
          <a:extLst>
            <a:ext uri="{FF2B5EF4-FFF2-40B4-BE49-F238E27FC236}">
              <a16:creationId xmlns="" xmlns:a16="http://schemas.microsoft.com/office/drawing/2014/main" id="{00000000-0008-0000-0200-0000EC04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261" name="Text Box 12">
          <a:extLst>
            <a:ext uri="{FF2B5EF4-FFF2-40B4-BE49-F238E27FC236}">
              <a16:creationId xmlns="" xmlns:a16="http://schemas.microsoft.com/office/drawing/2014/main" id="{00000000-0008-0000-0200-0000ED04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262" name="Text Box 10">
          <a:extLst>
            <a:ext uri="{FF2B5EF4-FFF2-40B4-BE49-F238E27FC236}">
              <a16:creationId xmlns="" xmlns:a16="http://schemas.microsoft.com/office/drawing/2014/main" id="{00000000-0008-0000-0200-0000EE04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263" name="Text Box 11">
          <a:extLst>
            <a:ext uri="{FF2B5EF4-FFF2-40B4-BE49-F238E27FC236}">
              <a16:creationId xmlns="" xmlns:a16="http://schemas.microsoft.com/office/drawing/2014/main" id="{00000000-0008-0000-0200-0000EF04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264" name="Text Box 12">
          <a:extLst>
            <a:ext uri="{FF2B5EF4-FFF2-40B4-BE49-F238E27FC236}">
              <a16:creationId xmlns="" xmlns:a16="http://schemas.microsoft.com/office/drawing/2014/main" id="{00000000-0008-0000-0200-0000F004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265" name="Text Box 10">
          <a:extLst>
            <a:ext uri="{FF2B5EF4-FFF2-40B4-BE49-F238E27FC236}">
              <a16:creationId xmlns="" xmlns:a16="http://schemas.microsoft.com/office/drawing/2014/main" id="{00000000-0008-0000-0200-0000F104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266" name="Text Box 11">
          <a:extLst>
            <a:ext uri="{FF2B5EF4-FFF2-40B4-BE49-F238E27FC236}">
              <a16:creationId xmlns="" xmlns:a16="http://schemas.microsoft.com/office/drawing/2014/main" id="{00000000-0008-0000-0200-0000F204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267" name="Text Box 12">
          <a:extLst>
            <a:ext uri="{FF2B5EF4-FFF2-40B4-BE49-F238E27FC236}">
              <a16:creationId xmlns="" xmlns:a16="http://schemas.microsoft.com/office/drawing/2014/main" id="{00000000-0008-0000-0200-0000F304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268" name="Text Box 10">
          <a:extLst>
            <a:ext uri="{FF2B5EF4-FFF2-40B4-BE49-F238E27FC236}">
              <a16:creationId xmlns="" xmlns:a16="http://schemas.microsoft.com/office/drawing/2014/main" id="{00000000-0008-0000-0200-0000F404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269" name="Text Box 11">
          <a:extLst>
            <a:ext uri="{FF2B5EF4-FFF2-40B4-BE49-F238E27FC236}">
              <a16:creationId xmlns="" xmlns:a16="http://schemas.microsoft.com/office/drawing/2014/main" id="{00000000-0008-0000-0200-0000F504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270" name="Text Box 12">
          <a:extLst>
            <a:ext uri="{FF2B5EF4-FFF2-40B4-BE49-F238E27FC236}">
              <a16:creationId xmlns="" xmlns:a16="http://schemas.microsoft.com/office/drawing/2014/main" id="{00000000-0008-0000-0200-0000F604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271" name="Text Box 10">
          <a:extLst>
            <a:ext uri="{FF2B5EF4-FFF2-40B4-BE49-F238E27FC236}">
              <a16:creationId xmlns="" xmlns:a16="http://schemas.microsoft.com/office/drawing/2014/main" id="{00000000-0008-0000-0200-0000F704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272" name="Text Box 11">
          <a:extLst>
            <a:ext uri="{FF2B5EF4-FFF2-40B4-BE49-F238E27FC236}">
              <a16:creationId xmlns="" xmlns:a16="http://schemas.microsoft.com/office/drawing/2014/main" id="{00000000-0008-0000-0200-0000F804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273" name="Text Box 12">
          <a:extLst>
            <a:ext uri="{FF2B5EF4-FFF2-40B4-BE49-F238E27FC236}">
              <a16:creationId xmlns="" xmlns:a16="http://schemas.microsoft.com/office/drawing/2014/main" id="{00000000-0008-0000-0200-0000F904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274" name="Text Box 10">
          <a:extLst>
            <a:ext uri="{FF2B5EF4-FFF2-40B4-BE49-F238E27FC236}">
              <a16:creationId xmlns="" xmlns:a16="http://schemas.microsoft.com/office/drawing/2014/main" id="{00000000-0008-0000-0200-0000FA04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275" name="Text Box 11">
          <a:extLst>
            <a:ext uri="{FF2B5EF4-FFF2-40B4-BE49-F238E27FC236}">
              <a16:creationId xmlns="" xmlns:a16="http://schemas.microsoft.com/office/drawing/2014/main" id="{00000000-0008-0000-0200-0000FB04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276" name="Text Box 12">
          <a:extLst>
            <a:ext uri="{FF2B5EF4-FFF2-40B4-BE49-F238E27FC236}">
              <a16:creationId xmlns="" xmlns:a16="http://schemas.microsoft.com/office/drawing/2014/main" id="{00000000-0008-0000-0200-0000FC04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277" name="Text Box 10">
          <a:extLst>
            <a:ext uri="{FF2B5EF4-FFF2-40B4-BE49-F238E27FC236}">
              <a16:creationId xmlns="" xmlns:a16="http://schemas.microsoft.com/office/drawing/2014/main" id="{00000000-0008-0000-0200-0000FD04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278" name="Text Box 11">
          <a:extLst>
            <a:ext uri="{FF2B5EF4-FFF2-40B4-BE49-F238E27FC236}">
              <a16:creationId xmlns="" xmlns:a16="http://schemas.microsoft.com/office/drawing/2014/main" id="{00000000-0008-0000-0200-0000FE04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279" name="Text Box 12">
          <a:extLst>
            <a:ext uri="{FF2B5EF4-FFF2-40B4-BE49-F238E27FC236}">
              <a16:creationId xmlns="" xmlns:a16="http://schemas.microsoft.com/office/drawing/2014/main" id="{00000000-0008-0000-0200-0000FF04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280" name="Text Box 10">
          <a:extLst>
            <a:ext uri="{FF2B5EF4-FFF2-40B4-BE49-F238E27FC236}">
              <a16:creationId xmlns="" xmlns:a16="http://schemas.microsoft.com/office/drawing/2014/main" id="{00000000-0008-0000-0200-00000005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281" name="Text Box 11">
          <a:extLst>
            <a:ext uri="{FF2B5EF4-FFF2-40B4-BE49-F238E27FC236}">
              <a16:creationId xmlns="" xmlns:a16="http://schemas.microsoft.com/office/drawing/2014/main" id="{00000000-0008-0000-0200-00000105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282" name="Text Box 12">
          <a:extLst>
            <a:ext uri="{FF2B5EF4-FFF2-40B4-BE49-F238E27FC236}">
              <a16:creationId xmlns="" xmlns:a16="http://schemas.microsoft.com/office/drawing/2014/main" id="{00000000-0008-0000-0200-00000205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283" name="Text Box 10">
          <a:extLst>
            <a:ext uri="{FF2B5EF4-FFF2-40B4-BE49-F238E27FC236}">
              <a16:creationId xmlns="" xmlns:a16="http://schemas.microsoft.com/office/drawing/2014/main" id="{00000000-0008-0000-0200-00000305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284" name="Text Box 11">
          <a:extLst>
            <a:ext uri="{FF2B5EF4-FFF2-40B4-BE49-F238E27FC236}">
              <a16:creationId xmlns="" xmlns:a16="http://schemas.microsoft.com/office/drawing/2014/main" id="{00000000-0008-0000-0200-00000405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285" name="Text Box 12">
          <a:extLst>
            <a:ext uri="{FF2B5EF4-FFF2-40B4-BE49-F238E27FC236}">
              <a16:creationId xmlns="" xmlns:a16="http://schemas.microsoft.com/office/drawing/2014/main" id="{00000000-0008-0000-0200-00000505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286" name="Text Box 10">
          <a:extLst>
            <a:ext uri="{FF2B5EF4-FFF2-40B4-BE49-F238E27FC236}">
              <a16:creationId xmlns="" xmlns:a16="http://schemas.microsoft.com/office/drawing/2014/main" id="{00000000-0008-0000-0200-00000605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287" name="Text Box 11">
          <a:extLst>
            <a:ext uri="{FF2B5EF4-FFF2-40B4-BE49-F238E27FC236}">
              <a16:creationId xmlns="" xmlns:a16="http://schemas.microsoft.com/office/drawing/2014/main" id="{00000000-0008-0000-0200-00000705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288" name="Text Box 12">
          <a:extLst>
            <a:ext uri="{FF2B5EF4-FFF2-40B4-BE49-F238E27FC236}">
              <a16:creationId xmlns="" xmlns:a16="http://schemas.microsoft.com/office/drawing/2014/main" id="{00000000-0008-0000-0200-00000805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289" name="Text Box 10">
          <a:extLst>
            <a:ext uri="{FF2B5EF4-FFF2-40B4-BE49-F238E27FC236}">
              <a16:creationId xmlns="" xmlns:a16="http://schemas.microsoft.com/office/drawing/2014/main" id="{00000000-0008-0000-0200-00000905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290" name="Text Box 11">
          <a:extLst>
            <a:ext uri="{FF2B5EF4-FFF2-40B4-BE49-F238E27FC236}">
              <a16:creationId xmlns="" xmlns:a16="http://schemas.microsoft.com/office/drawing/2014/main" id="{00000000-0008-0000-0200-00000A05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291" name="Text Box 12">
          <a:extLst>
            <a:ext uri="{FF2B5EF4-FFF2-40B4-BE49-F238E27FC236}">
              <a16:creationId xmlns="" xmlns:a16="http://schemas.microsoft.com/office/drawing/2014/main" id="{00000000-0008-0000-0200-00000B05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292" name="Text Box 10">
          <a:extLst>
            <a:ext uri="{FF2B5EF4-FFF2-40B4-BE49-F238E27FC236}">
              <a16:creationId xmlns="" xmlns:a16="http://schemas.microsoft.com/office/drawing/2014/main" id="{00000000-0008-0000-0200-00000C05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293" name="Text Box 11">
          <a:extLst>
            <a:ext uri="{FF2B5EF4-FFF2-40B4-BE49-F238E27FC236}">
              <a16:creationId xmlns="" xmlns:a16="http://schemas.microsoft.com/office/drawing/2014/main" id="{00000000-0008-0000-0200-00000D05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294" name="Text Box 12">
          <a:extLst>
            <a:ext uri="{FF2B5EF4-FFF2-40B4-BE49-F238E27FC236}">
              <a16:creationId xmlns="" xmlns:a16="http://schemas.microsoft.com/office/drawing/2014/main" id="{00000000-0008-0000-0200-00000E05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295" name="Text Box 10">
          <a:extLst>
            <a:ext uri="{FF2B5EF4-FFF2-40B4-BE49-F238E27FC236}">
              <a16:creationId xmlns="" xmlns:a16="http://schemas.microsoft.com/office/drawing/2014/main" id="{00000000-0008-0000-0200-00000F05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296" name="Text Box 11">
          <a:extLst>
            <a:ext uri="{FF2B5EF4-FFF2-40B4-BE49-F238E27FC236}">
              <a16:creationId xmlns="" xmlns:a16="http://schemas.microsoft.com/office/drawing/2014/main" id="{00000000-0008-0000-0200-00001005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297" name="Text Box 12">
          <a:extLst>
            <a:ext uri="{FF2B5EF4-FFF2-40B4-BE49-F238E27FC236}">
              <a16:creationId xmlns="" xmlns:a16="http://schemas.microsoft.com/office/drawing/2014/main" id="{00000000-0008-0000-0200-00001105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298" name="Text Box 10">
          <a:extLst>
            <a:ext uri="{FF2B5EF4-FFF2-40B4-BE49-F238E27FC236}">
              <a16:creationId xmlns="" xmlns:a16="http://schemas.microsoft.com/office/drawing/2014/main" id="{00000000-0008-0000-0200-00001205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299" name="Text Box 11">
          <a:extLst>
            <a:ext uri="{FF2B5EF4-FFF2-40B4-BE49-F238E27FC236}">
              <a16:creationId xmlns="" xmlns:a16="http://schemas.microsoft.com/office/drawing/2014/main" id="{00000000-0008-0000-0200-00001305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300" name="Text Box 12">
          <a:extLst>
            <a:ext uri="{FF2B5EF4-FFF2-40B4-BE49-F238E27FC236}">
              <a16:creationId xmlns="" xmlns:a16="http://schemas.microsoft.com/office/drawing/2014/main" id="{00000000-0008-0000-0200-00001405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301" name="Text Box 10">
          <a:extLst>
            <a:ext uri="{FF2B5EF4-FFF2-40B4-BE49-F238E27FC236}">
              <a16:creationId xmlns="" xmlns:a16="http://schemas.microsoft.com/office/drawing/2014/main" id="{00000000-0008-0000-0200-00001505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302" name="Text Box 11">
          <a:extLst>
            <a:ext uri="{FF2B5EF4-FFF2-40B4-BE49-F238E27FC236}">
              <a16:creationId xmlns="" xmlns:a16="http://schemas.microsoft.com/office/drawing/2014/main" id="{00000000-0008-0000-0200-00001605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303" name="Text Box 12">
          <a:extLst>
            <a:ext uri="{FF2B5EF4-FFF2-40B4-BE49-F238E27FC236}">
              <a16:creationId xmlns="" xmlns:a16="http://schemas.microsoft.com/office/drawing/2014/main" id="{00000000-0008-0000-0200-00001705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304" name="Text Box 10">
          <a:extLst>
            <a:ext uri="{FF2B5EF4-FFF2-40B4-BE49-F238E27FC236}">
              <a16:creationId xmlns="" xmlns:a16="http://schemas.microsoft.com/office/drawing/2014/main" id="{00000000-0008-0000-0200-00001805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305" name="Text Box 11">
          <a:extLst>
            <a:ext uri="{FF2B5EF4-FFF2-40B4-BE49-F238E27FC236}">
              <a16:creationId xmlns="" xmlns:a16="http://schemas.microsoft.com/office/drawing/2014/main" id="{00000000-0008-0000-0200-00001905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306" name="Text Box 12">
          <a:extLst>
            <a:ext uri="{FF2B5EF4-FFF2-40B4-BE49-F238E27FC236}">
              <a16:creationId xmlns="" xmlns:a16="http://schemas.microsoft.com/office/drawing/2014/main" id="{00000000-0008-0000-0200-00001A05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307" name="Text Box 10">
          <a:extLst>
            <a:ext uri="{FF2B5EF4-FFF2-40B4-BE49-F238E27FC236}">
              <a16:creationId xmlns="" xmlns:a16="http://schemas.microsoft.com/office/drawing/2014/main" id="{00000000-0008-0000-0200-00001B05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308" name="Text Box 11">
          <a:extLst>
            <a:ext uri="{FF2B5EF4-FFF2-40B4-BE49-F238E27FC236}">
              <a16:creationId xmlns="" xmlns:a16="http://schemas.microsoft.com/office/drawing/2014/main" id="{00000000-0008-0000-0200-00001C05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309" name="Text Box 12">
          <a:extLst>
            <a:ext uri="{FF2B5EF4-FFF2-40B4-BE49-F238E27FC236}">
              <a16:creationId xmlns="" xmlns:a16="http://schemas.microsoft.com/office/drawing/2014/main" id="{00000000-0008-0000-0200-00001D05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310" name="Text Box 10">
          <a:extLst>
            <a:ext uri="{FF2B5EF4-FFF2-40B4-BE49-F238E27FC236}">
              <a16:creationId xmlns="" xmlns:a16="http://schemas.microsoft.com/office/drawing/2014/main" id="{00000000-0008-0000-0200-00001E05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311" name="Text Box 11">
          <a:extLst>
            <a:ext uri="{FF2B5EF4-FFF2-40B4-BE49-F238E27FC236}">
              <a16:creationId xmlns="" xmlns:a16="http://schemas.microsoft.com/office/drawing/2014/main" id="{00000000-0008-0000-0200-00001F05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312" name="Text Box 12">
          <a:extLst>
            <a:ext uri="{FF2B5EF4-FFF2-40B4-BE49-F238E27FC236}">
              <a16:creationId xmlns="" xmlns:a16="http://schemas.microsoft.com/office/drawing/2014/main" id="{00000000-0008-0000-0200-00002005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313" name="Text Box 10">
          <a:extLst>
            <a:ext uri="{FF2B5EF4-FFF2-40B4-BE49-F238E27FC236}">
              <a16:creationId xmlns="" xmlns:a16="http://schemas.microsoft.com/office/drawing/2014/main" id="{00000000-0008-0000-0200-00002105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314" name="Text Box 11">
          <a:extLst>
            <a:ext uri="{FF2B5EF4-FFF2-40B4-BE49-F238E27FC236}">
              <a16:creationId xmlns="" xmlns:a16="http://schemas.microsoft.com/office/drawing/2014/main" id="{00000000-0008-0000-0200-00002205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315" name="Text Box 12">
          <a:extLst>
            <a:ext uri="{FF2B5EF4-FFF2-40B4-BE49-F238E27FC236}">
              <a16:creationId xmlns="" xmlns:a16="http://schemas.microsoft.com/office/drawing/2014/main" id="{00000000-0008-0000-0200-00002305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316" name="Text Box 10">
          <a:extLst>
            <a:ext uri="{FF2B5EF4-FFF2-40B4-BE49-F238E27FC236}">
              <a16:creationId xmlns="" xmlns:a16="http://schemas.microsoft.com/office/drawing/2014/main" id="{00000000-0008-0000-0200-00002405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317" name="Text Box 11">
          <a:extLst>
            <a:ext uri="{FF2B5EF4-FFF2-40B4-BE49-F238E27FC236}">
              <a16:creationId xmlns="" xmlns:a16="http://schemas.microsoft.com/office/drawing/2014/main" id="{00000000-0008-0000-0200-00002505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318" name="Text Box 12">
          <a:extLst>
            <a:ext uri="{FF2B5EF4-FFF2-40B4-BE49-F238E27FC236}">
              <a16:creationId xmlns="" xmlns:a16="http://schemas.microsoft.com/office/drawing/2014/main" id="{00000000-0008-0000-0200-00002605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319" name="Text Box 10">
          <a:extLst>
            <a:ext uri="{FF2B5EF4-FFF2-40B4-BE49-F238E27FC236}">
              <a16:creationId xmlns="" xmlns:a16="http://schemas.microsoft.com/office/drawing/2014/main" id="{00000000-0008-0000-0200-00002705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320" name="Text Box 11">
          <a:extLst>
            <a:ext uri="{FF2B5EF4-FFF2-40B4-BE49-F238E27FC236}">
              <a16:creationId xmlns="" xmlns:a16="http://schemas.microsoft.com/office/drawing/2014/main" id="{00000000-0008-0000-0200-00002805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321" name="Text Box 12">
          <a:extLst>
            <a:ext uri="{FF2B5EF4-FFF2-40B4-BE49-F238E27FC236}">
              <a16:creationId xmlns="" xmlns:a16="http://schemas.microsoft.com/office/drawing/2014/main" id="{00000000-0008-0000-0200-00002905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322" name="Text Box 10">
          <a:extLst>
            <a:ext uri="{FF2B5EF4-FFF2-40B4-BE49-F238E27FC236}">
              <a16:creationId xmlns="" xmlns:a16="http://schemas.microsoft.com/office/drawing/2014/main" id="{00000000-0008-0000-0200-00002A05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323" name="Text Box 11">
          <a:extLst>
            <a:ext uri="{FF2B5EF4-FFF2-40B4-BE49-F238E27FC236}">
              <a16:creationId xmlns="" xmlns:a16="http://schemas.microsoft.com/office/drawing/2014/main" id="{00000000-0008-0000-0200-00002B05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324" name="Text Box 12">
          <a:extLst>
            <a:ext uri="{FF2B5EF4-FFF2-40B4-BE49-F238E27FC236}">
              <a16:creationId xmlns="" xmlns:a16="http://schemas.microsoft.com/office/drawing/2014/main" id="{00000000-0008-0000-0200-00002C05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325" name="Text Box 10">
          <a:extLst>
            <a:ext uri="{FF2B5EF4-FFF2-40B4-BE49-F238E27FC236}">
              <a16:creationId xmlns="" xmlns:a16="http://schemas.microsoft.com/office/drawing/2014/main" id="{00000000-0008-0000-0200-00002D05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326" name="Text Box 11">
          <a:extLst>
            <a:ext uri="{FF2B5EF4-FFF2-40B4-BE49-F238E27FC236}">
              <a16:creationId xmlns="" xmlns:a16="http://schemas.microsoft.com/office/drawing/2014/main" id="{00000000-0008-0000-0200-00002E05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327" name="Text Box 12">
          <a:extLst>
            <a:ext uri="{FF2B5EF4-FFF2-40B4-BE49-F238E27FC236}">
              <a16:creationId xmlns="" xmlns:a16="http://schemas.microsoft.com/office/drawing/2014/main" id="{00000000-0008-0000-0200-00002F05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328" name="Text Box 10">
          <a:extLst>
            <a:ext uri="{FF2B5EF4-FFF2-40B4-BE49-F238E27FC236}">
              <a16:creationId xmlns="" xmlns:a16="http://schemas.microsoft.com/office/drawing/2014/main" id="{00000000-0008-0000-0200-00003005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329" name="Text Box 11">
          <a:extLst>
            <a:ext uri="{FF2B5EF4-FFF2-40B4-BE49-F238E27FC236}">
              <a16:creationId xmlns="" xmlns:a16="http://schemas.microsoft.com/office/drawing/2014/main" id="{00000000-0008-0000-0200-00003105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330" name="Text Box 12">
          <a:extLst>
            <a:ext uri="{FF2B5EF4-FFF2-40B4-BE49-F238E27FC236}">
              <a16:creationId xmlns="" xmlns:a16="http://schemas.microsoft.com/office/drawing/2014/main" id="{00000000-0008-0000-0200-00003205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331" name="Text Box 10">
          <a:extLst>
            <a:ext uri="{FF2B5EF4-FFF2-40B4-BE49-F238E27FC236}">
              <a16:creationId xmlns="" xmlns:a16="http://schemas.microsoft.com/office/drawing/2014/main" id="{00000000-0008-0000-0200-00003305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332" name="Text Box 11">
          <a:extLst>
            <a:ext uri="{FF2B5EF4-FFF2-40B4-BE49-F238E27FC236}">
              <a16:creationId xmlns="" xmlns:a16="http://schemas.microsoft.com/office/drawing/2014/main" id="{00000000-0008-0000-0200-00003405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333" name="Text Box 12">
          <a:extLst>
            <a:ext uri="{FF2B5EF4-FFF2-40B4-BE49-F238E27FC236}">
              <a16:creationId xmlns="" xmlns:a16="http://schemas.microsoft.com/office/drawing/2014/main" id="{00000000-0008-0000-0200-00003505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334" name="Text Box 10">
          <a:extLst>
            <a:ext uri="{FF2B5EF4-FFF2-40B4-BE49-F238E27FC236}">
              <a16:creationId xmlns="" xmlns:a16="http://schemas.microsoft.com/office/drawing/2014/main" id="{00000000-0008-0000-0200-00003605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335" name="Text Box 11">
          <a:extLst>
            <a:ext uri="{FF2B5EF4-FFF2-40B4-BE49-F238E27FC236}">
              <a16:creationId xmlns="" xmlns:a16="http://schemas.microsoft.com/office/drawing/2014/main" id="{00000000-0008-0000-0200-00003705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336" name="Text Box 12">
          <a:extLst>
            <a:ext uri="{FF2B5EF4-FFF2-40B4-BE49-F238E27FC236}">
              <a16:creationId xmlns="" xmlns:a16="http://schemas.microsoft.com/office/drawing/2014/main" id="{00000000-0008-0000-0200-00003805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337" name="Text Box 10">
          <a:extLst>
            <a:ext uri="{FF2B5EF4-FFF2-40B4-BE49-F238E27FC236}">
              <a16:creationId xmlns="" xmlns:a16="http://schemas.microsoft.com/office/drawing/2014/main" id="{00000000-0008-0000-0200-00003905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338" name="Text Box 11">
          <a:extLst>
            <a:ext uri="{FF2B5EF4-FFF2-40B4-BE49-F238E27FC236}">
              <a16:creationId xmlns="" xmlns:a16="http://schemas.microsoft.com/office/drawing/2014/main" id="{00000000-0008-0000-0200-00003A05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339" name="Text Box 12">
          <a:extLst>
            <a:ext uri="{FF2B5EF4-FFF2-40B4-BE49-F238E27FC236}">
              <a16:creationId xmlns="" xmlns:a16="http://schemas.microsoft.com/office/drawing/2014/main" id="{00000000-0008-0000-0200-00003B05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340" name="Text Box 10">
          <a:extLst>
            <a:ext uri="{FF2B5EF4-FFF2-40B4-BE49-F238E27FC236}">
              <a16:creationId xmlns="" xmlns:a16="http://schemas.microsoft.com/office/drawing/2014/main" id="{00000000-0008-0000-0200-00003C05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341" name="Text Box 11">
          <a:extLst>
            <a:ext uri="{FF2B5EF4-FFF2-40B4-BE49-F238E27FC236}">
              <a16:creationId xmlns="" xmlns:a16="http://schemas.microsoft.com/office/drawing/2014/main" id="{00000000-0008-0000-0200-00003D05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342" name="Text Box 12">
          <a:extLst>
            <a:ext uri="{FF2B5EF4-FFF2-40B4-BE49-F238E27FC236}">
              <a16:creationId xmlns="" xmlns:a16="http://schemas.microsoft.com/office/drawing/2014/main" id="{00000000-0008-0000-0200-00003E05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343" name="Text Box 10">
          <a:extLst>
            <a:ext uri="{FF2B5EF4-FFF2-40B4-BE49-F238E27FC236}">
              <a16:creationId xmlns="" xmlns:a16="http://schemas.microsoft.com/office/drawing/2014/main" id="{00000000-0008-0000-0200-00003F05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344" name="Text Box 11">
          <a:extLst>
            <a:ext uri="{FF2B5EF4-FFF2-40B4-BE49-F238E27FC236}">
              <a16:creationId xmlns="" xmlns:a16="http://schemas.microsoft.com/office/drawing/2014/main" id="{00000000-0008-0000-0200-00004005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345" name="Text Box 12">
          <a:extLst>
            <a:ext uri="{FF2B5EF4-FFF2-40B4-BE49-F238E27FC236}">
              <a16:creationId xmlns="" xmlns:a16="http://schemas.microsoft.com/office/drawing/2014/main" id="{00000000-0008-0000-0200-00004105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346" name="Text Box 10">
          <a:extLst>
            <a:ext uri="{FF2B5EF4-FFF2-40B4-BE49-F238E27FC236}">
              <a16:creationId xmlns="" xmlns:a16="http://schemas.microsoft.com/office/drawing/2014/main" id="{00000000-0008-0000-0200-00004205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347" name="Text Box 11">
          <a:extLst>
            <a:ext uri="{FF2B5EF4-FFF2-40B4-BE49-F238E27FC236}">
              <a16:creationId xmlns="" xmlns:a16="http://schemas.microsoft.com/office/drawing/2014/main" id="{00000000-0008-0000-0200-00004305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348" name="Text Box 12">
          <a:extLst>
            <a:ext uri="{FF2B5EF4-FFF2-40B4-BE49-F238E27FC236}">
              <a16:creationId xmlns="" xmlns:a16="http://schemas.microsoft.com/office/drawing/2014/main" id="{00000000-0008-0000-0200-00004405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349" name="Text Box 10">
          <a:extLst>
            <a:ext uri="{FF2B5EF4-FFF2-40B4-BE49-F238E27FC236}">
              <a16:creationId xmlns="" xmlns:a16="http://schemas.microsoft.com/office/drawing/2014/main" id="{00000000-0008-0000-0200-00004505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350" name="Text Box 11">
          <a:extLst>
            <a:ext uri="{FF2B5EF4-FFF2-40B4-BE49-F238E27FC236}">
              <a16:creationId xmlns="" xmlns:a16="http://schemas.microsoft.com/office/drawing/2014/main" id="{00000000-0008-0000-0200-00004605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351" name="Text Box 12">
          <a:extLst>
            <a:ext uri="{FF2B5EF4-FFF2-40B4-BE49-F238E27FC236}">
              <a16:creationId xmlns="" xmlns:a16="http://schemas.microsoft.com/office/drawing/2014/main" id="{00000000-0008-0000-0200-00004705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352" name="Text Box 10">
          <a:extLst>
            <a:ext uri="{FF2B5EF4-FFF2-40B4-BE49-F238E27FC236}">
              <a16:creationId xmlns="" xmlns:a16="http://schemas.microsoft.com/office/drawing/2014/main" id="{00000000-0008-0000-0200-00004805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353" name="Text Box 11">
          <a:extLst>
            <a:ext uri="{FF2B5EF4-FFF2-40B4-BE49-F238E27FC236}">
              <a16:creationId xmlns="" xmlns:a16="http://schemas.microsoft.com/office/drawing/2014/main" id="{00000000-0008-0000-0200-00004905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354" name="Text Box 12">
          <a:extLst>
            <a:ext uri="{FF2B5EF4-FFF2-40B4-BE49-F238E27FC236}">
              <a16:creationId xmlns="" xmlns:a16="http://schemas.microsoft.com/office/drawing/2014/main" id="{00000000-0008-0000-0200-00004A05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355" name="Text Box 10">
          <a:extLst>
            <a:ext uri="{FF2B5EF4-FFF2-40B4-BE49-F238E27FC236}">
              <a16:creationId xmlns="" xmlns:a16="http://schemas.microsoft.com/office/drawing/2014/main" id="{00000000-0008-0000-0200-00004B05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356" name="Text Box 11">
          <a:extLst>
            <a:ext uri="{FF2B5EF4-FFF2-40B4-BE49-F238E27FC236}">
              <a16:creationId xmlns="" xmlns:a16="http://schemas.microsoft.com/office/drawing/2014/main" id="{00000000-0008-0000-0200-00004C05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357" name="Text Box 12">
          <a:extLst>
            <a:ext uri="{FF2B5EF4-FFF2-40B4-BE49-F238E27FC236}">
              <a16:creationId xmlns="" xmlns:a16="http://schemas.microsoft.com/office/drawing/2014/main" id="{00000000-0008-0000-0200-00004D05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358" name="Text Box 10">
          <a:extLst>
            <a:ext uri="{FF2B5EF4-FFF2-40B4-BE49-F238E27FC236}">
              <a16:creationId xmlns="" xmlns:a16="http://schemas.microsoft.com/office/drawing/2014/main" id="{00000000-0008-0000-0200-00004E05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359" name="Text Box 11">
          <a:extLst>
            <a:ext uri="{FF2B5EF4-FFF2-40B4-BE49-F238E27FC236}">
              <a16:creationId xmlns="" xmlns:a16="http://schemas.microsoft.com/office/drawing/2014/main" id="{00000000-0008-0000-0200-00004F05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360" name="Text Box 12">
          <a:extLst>
            <a:ext uri="{FF2B5EF4-FFF2-40B4-BE49-F238E27FC236}">
              <a16:creationId xmlns="" xmlns:a16="http://schemas.microsoft.com/office/drawing/2014/main" id="{00000000-0008-0000-0200-00005005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361" name="Text Box 10">
          <a:extLst>
            <a:ext uri="{FF2B5EF4-FFF2-40B4-BE49-F238E27FC236}">
              <a16:creationId xmlns="" xmlns:a16="http://schemas.microsoft.com/office/drawing/2014/main" id="{00000000-0008-0000-0200-00005105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362" name="Text Box 11">
          <a:extLst>
            <a:ext uri="{FF2B5EF4-FFF2-40B4-BE49-F238E27FC236}">
              <a16:creationId xmlns="" xmlns:a16="http://schemas.microsoft.com/office/drawing/2014/main" id="{00000000-0008-0000-0200-00005205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363" name="Text Box 12">
          <a:extLst>
            <a:ext uri="{FF2B5EF4-FFF2-40B4-BE49-F238E27FC236}">
              <a16:creationId xmlns="" xmlns:a16="http://schemas.microsoft.com/office/drawing/2014/main" id="{00000000-0008-0000-0200-00005305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364" name="Text Box 10">
          <a:extLst>
            <a:ext uri="{FF2B5EF4-FFF2-40B4-BE49-F238E27FC236}">
              <a16:creationId xmlns="" xmlns:a16="http://schemas.microsoft.com/office/drawing/2014/main" id="{00000000-0008-0000-0200-00005405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365" name="Text Box 11">
          <a:extLst>
            <a:ext uri="{FF2B5EF4-FFF2-40B4-BE49-F238E27FC236}">
              <a16:creationId xmlns="" xmlns:a16="http://schemas.microsoft.com/office/drawing/2014/main" id="{00000000-0008-0000-0200-00005505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366" name="Text Box 12">
          <a:extLst>
            <a:ext uri="{FF2B5EF4-FFF2-40B4-BE49-F238E27FC236}">
              <a16:creationId xmlns="" xmlns:a16="http://schemas.microsoft.com/office/drawing/2014/main" id="{00000000-0008-0000-0200-00005605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367" name="Text Box 10">
          <a:extLst>
            <a:ext uri="{FF2B5EF4-FFF2-40B4-BE49-F238E27FC236}">
              <a16:creationId xmlns="" xmlns:a16="http://schemas.microsoft.com/office/drawing/2014/main" id="{00000000-0008-0000-0200-00005705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368" name="Text Box 11">
          <a:extLst>
            <a:ext uri="{FF2B5EF4-FFF2-40B4-BE49-F238E27FC236}">
              <a16:creationId xmlns="" xmlns:a16="http://schemas.microsoft.com/office/drawing/2014/main" id="{00000000-0008-0000-0200-00005805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369" name="Text Box 12">
          <a:extLst>
            <a:ext uri="{FF2B5EF4-FFF2-40B4-BE49-F238E27FC236}">
              <a16:creationId xmlns="" xmlns:a16="http://schemas.microsoft.com/office/drawing/2014/main" id="{00000000-0008-0000-0200-00005905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370" name="Text Box 10">
          <a:extLst>
            <a:ext uri="{FF2B5EF4-FFF2-40B4-BE49-F238E27FC236}">
              <a16:creationId xmlns="" xmlns:a16="http://schemas.microsoft.com/office/drawing/2014/main" id="{00000000-0008-0000-0200-00005A05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371" name="Text Box 11">
          <a:extLst>
            <a:ext uri="{FF2B5EF4-FFF2-40B4-BE49-F238E27FC236}">
              <a16:creationId xmlns="" xmlns:a16="http://schemas.microsoft.com/office/drawing/2014/main" id="{00000000-0008-0000-0200-00005B05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372" name="Text Box 12">
          <a:extLst>
            <a:ext uri="{FF2B5EF4-FFF2-40B4-BE49-F238E27FC236}">
              <a16:creationId xmlns="" xmlns:a16="http://schemas.microsoft.com/office/drawing/2014/main" id="{00000000-0008-0000-0200-00005C05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373" name="Text Box 10">
          <a:extLst>
            <a:ext uri="{FF2B5EF4-FFF2-40B4-BE49-F238E27FC236}">
              <a16:creationId xmlns="" xmlns:a16="http://schemas.microsoft.com/office/drawing/2014/main" id="{00000000-0008-0000-0200-00005D05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374" name="Text Box 11">
          <a:extLst>
            <a:ext uri="{FF2B5EF4-FFF2-40B4-BE49-F238E27FC236}">
              <a16:creationId xmlns="" xmlns:a16="http://schemas.microsoft.com/office/drawing/2014/main" id="{00000000-0008-0000-0200-00005E05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375" name="Text Box 12">
          <a:extLst>
            <a:ext uri="{FF2B5EF4-FFF2-40B4-BE49-F238E27FC236}">
              <a16:creationId xmlns="" xmlns:a16="http://schemas.microsoft.com/office/drawing/2014/main" id="{00000000-0008-0000-0200-00005F05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376" name="Text Box 10">
          <a:extLst>
            <a:ext uri="{FF2B5EF4-FFF2-40B4-BE49-F238E27FC236}">
              <a16:creationId xmlns="" xmlns:a16="http://schemas.microsoft.com/office/drawing/2014/main" id="{00000000-0008-0000-0200-00006005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377" name="Text Box 11">
          <a:extLst>
            <a:ext uri="{FF2B5EF4-FFF2-40B4-BE49-F238E27FC236}">
              <a16:creationId xmlns="" xmlns:a16="http://schemas.microsoft.com/office/drawing/2014/main" id="{00000000-0008-0000-0200-00006105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378" name="Text Box 12">
          <a:extLst>
            <a:ext uri="{FF2B5EF4-FFF2-40B4-BE49-F238E27FC236}">
              <a16:creationId xmlns="" xmlns:a16="http://schemas.microsoft.com/office/drawing/2014/main" id="{00000000-0008-0000-0200-00006205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379" name="Text Box 10">
          <a:extLst>
            <a:ext uri="{FF2B5EF4-FFF2-40B4-BE49-F238E27FC236}">
              <a16:creationId xmlns="" xmlns:a16="http://schemas.microsoft.com/office/drawing/2014/main" id="{00000000-0008-0000-0200-00006305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380" name="Text Box 11">
          <a:extLst>
            <a:ext uri="{FF2B5EF4-FFF2-40B4-BE49-F238E27FC236}">
              <a16:creationId xmlns="" xmlns:a16="http://schemas.microsoft.com/office/drawing/2014/main" id="{00000000-0008-0000-0200-00006405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381" name="Text Box 12">
          <a:extLst>
            <a:ext uri="{FF2B5EF4-FFF2-40B4-BE49-F238E27FC236}">
              <a16:creationId xmlns="" xmlns:a16="http://schemas.microsoft.com/office/drawing/2014/main" id="{00000000-0008-0000-0200-00006505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382" name="Text Box 10">
          <a:extLst>
            <a:ext uri="{FF2B5EF4-FFF2-40B4-BE49-F238E27FC236}">
              <a16:creationId xmlns="" xmlns:a16="http://schemas.microsoft.com/office/drawing/2014/main" id="{00000000-0008-0000-0200-00006605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383" name="Text Box 11">
          <a:extLst>
            <a:ext uri="{FF2B5EF4-FFF2-40B4-BE49-F238E27FC236}">
              <a16:creationId xmlns="" xmlns:a16="http://schemas.microsoft.com/office/drawing/2014/main" id="{00000000-0008-0000-0200-00006705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384" name="Text Box 12">
          <a:extLst>
            <a:ext uri="{FF2B5EF4-FFF2-40B4-BE49-F238E27FC236}">
              <a16:creationId xmlns="" xmlns:a16="http://schemas.microsoft.com/office/drawing/2014/main" id="{00000000-0008-0000-0200-00006805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385" name="Text Box 10">
          <a:extLst>
            <a:ext uri="{FF2B5EF4-FFF2-40B4-BE49-F238E27FC236}">
              <a16:creationId xmlns="" xmlns:a16="http://schemas.microsoft.com/office/drawing/2014/main" id="{00000000-0008-0000-0200-00006905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386" name="Text Box 11">
          <a:extLst>
            <a:ext uri="{FF2B5EF4-FFF2-40B4-BE49-F238E27FC236}">
              <a16:creationId xmlns="" xmlns:a16="http://schemas.microsoft.com/office/drawing/2014/main" id="{00000000-0008-0000-0200-00006A05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387" name="Text Box 12">
          <a:extLst>
            <a:ext uri="{FF2B5EF4-FFF2-40B4-BE49-F238E27FC236}">
              <a16:creationId xmlns="" xmlns:a16="http://schemas.microsoft.com/office/drawing/2014/main" id="{00000000-0008-0000-0200-00006B05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388" name="Text Box 10">
          <a:extLst>
            <a:ext uri="{FF2B5EF4-FFF2-40B4-BE49-F238E27FC236}">
              <a16:creationId xmlns="" xmlns:a16="http://schemas.microsoft.com/office/drawing/2014/main" id="{00000000-0008-0000-0200-00006C05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389" name="Text Box 11">
          <a:extLst>
            <a:ext uri="{FF2B5EF4-FFF2-40B4-BE49-F238E27FC236}">
              <a16:creationId xmlns="" xmlns:a16="http://schemas.microsoft.com/office/drawing/2014/main" id="{00000000-0008-0000-0200-00006D05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390" name="Text Box 12">
          <a:extLst>
            <a:ext uri="{FF2B5EF4-FFF2-40B4-BE49-F238E27FC236}">
              <a16:creationId xmlns="" xmlns:a16="http://schemas.microsoft.com/office/drawing/2014/main" id="{00000000-0008-0000-0200-00006E05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391" name="Text Box 10">
          <a:extLst>
            <a:ext uri="{FF2B5EF4-FFF2-40B4-BE49-F238E27FC236}">
              <a16:creationId xmlns="" xmlns:a16="http://schemas.microsoft.com/office/drawing/2014/main" id="{00000000-0008-0000-0200-00006F05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392" name="Text Box 11">
          <a:extLst>
            <a:ext uri="{FF2B5EF4-FFF2-40B4-BE49-F238E27FC236}">
              <a16:creationId xmlns="" xmlns:a16="http://schemas.microsoft.com/office/drawing/2014/main" id="{00000000-0008-0000-0200-00007005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32</xdr:row>
      <xdr:rowOff>0</xdr:rowOff>
    </xdr:from>
    <xdr:to>
      <xdr:col>2</xdr:col>
      <xdr:colOff>104775</xdr:colOff>
      <xdr:row>33</xdr:row>
      <xdr:rowOff>38100</xdr:rowOff>
    </xdr:to>
    <xdr:sp macro="" textlink="">
      <xdr:nvSpPr>
        <xdr:cNvPr id="1393" name="Text Box 12">
          <a:extLst>
            <a:ext uri="{FF2B5EF4-FFF2-40B4-BE49-F238E27FC236}">
              <a16:creationId xmlns="" xmlns:a16="http://schemas.microsoft.com/office/drawing/2014/main" id="{00000000-0008-0000-0200-000071050000}"/>
            </a:ext>
          </a:extLst>
        </xdr:cNvPr>
        <xdr:cNvSpPr txBox="1">
          <a:spLocks noChangeArrowheads="1"/>
        </xdr:cNvSpPr>
      </xdr:nvSpPr>
      <xdr:spPr bwMode="auto">
        <a:xfrm>
          <a:off x="3162300" y="44186475"/>
          <a:ext cx="95250" cy="10382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9525</xdr:colOff>
      <xdr:row>43</xdr:row>
      <xdr:rowOff>0</xdr:rowOff>
    </xdr:from>
    <xdr:to>
      <xdr:col>3</xdr:col>
      <xdr:colOff>95250</xdr:colOff>
      <xdr:row>47</xdr:row>
      <xdr:rowOff>134211</xdr:rowOff>
    </xdr:to>
    <xdr:sp macro="" textlink="">
      <xdr:nvSpPr>
        <xdr:cNvPr id="2" name="Text Box 11">
          <a:extLst>
            <a:ext uri="{FF2B5EF4-FFF2-40B4-BE49-F238E27FC236}">
              <a16:creationId xmlns="" xmlns:a16="http://schemas.microsoft.com/office/drawing/2014/main" id="{00000000-0008-0000-0400-000002000000}"/>
            </a:ext>
          </a:extLst>
        </xdr:cNvPr>
        <xdr:cNvSpPr txBox="1">
          <a:spLocks noChangeArrowheads="1"/>
        </xdr:cNvSpPr>
      </xdr:nvSpPr>
      <xdr:spPr bwMode="auto">
        <a:xfrm>
          <a:off x="2238375" y="35471100"/>
          <a:ext cx="95250" cy="10867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43</xdr:row>
      <xdr:rowOff>0</xdr:rowOff>
    </xdr:from>
    <xdr:to>
      <xdr:col>3</xdr:col>
      <xdr:colOff>95250</xdr:colOff>
      <xdr:row>47</xdr:row>
      <xdr:rowOff>134211</xdr:rowOff>
    </xdr:to>
    <xdr:sp macro="" textlink="">
      <xdr:nvSpPr>
        <xdr:cNvPr id="3" name="Text Box 12">
          <a:extLst>
            <a:ext uri="{FF2B5EF4-FFF2-40B4-BE49-F238E27FC236}">
              <a16:creationId xmlns="" xmlns:a16="http://schemas.microsoft.com/office/drawing/2014/main" id="{00000000-0008-0000-0400-000003000000}"/>
            </a:ext>
          </a:extLst>
        </xdr:cNvPr>
        <xdr:cNvSpPr txBox="1">
          <a:spLocks noChangeArrowheads="1"/>
        </xdr:cNvSpPr>
      </xdr:nvSpPr>
      <xdr:spPr bwMode="auto">
        <a:xfrm>
          <a:off x="2238375" y="35471100"/>
          <a:ext cx="95250" cy="10867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9525</xdr:colOff>
      <xdr:row>43</xdr:row>
      <xdr:rowOff>0</xdr:rowOff>
    </xdr:from>
    <xdr:to>
      <xdr:col>3</xdr:col>
      <xdr:colOff>104775</xdr:colOff>
      <xdr:row>47</xdr:row>
      <xdr:rowOff>134211</xdr:rowOff>
    </xdr:to>
    <xdr:sp macro="" textlink="">
      <xdr:nvSpPr>
        <xdr:cNvPr id="4" name="Text Box 10">
          <a:extLst>
            <a:ext uri="{FF2B5EF4-FFF2-40B4-BE49-F238E27FC236}">
              <a16:creationId xmlns="" xmlns:a16="http://schemas.microsoft.com/office/drawing/2014/main" id="{00000000-0008-0000-0400-000004000000}"/>
            </a:ext>
          </a:extLst>
        </xdr:cNvPr>
        <xdr:cNvSpPr txBox="1">
          <a:spLocks noChangeArrowheads="1"/>
        </xdr:cNvSpPr>
      </xdr:nvSpPr>
      <xdr:spPr bwMode="auto">
        <a:xfrm>
          <a:off x="3038475" y="35471100"/>
          <a:ext cx="95250" cy="10867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9525</xdr:colOff>
      <xdr:row>43</xdr:row>
      <xdr:rowOff>0</xdr:rowOff>
    </xdr:from>
    <xdr:to>
      <xdr:col>3</xdr:col>
      <xdr:colOff>104775</xdr:colOff>
      <xdr:row>47</xdr:row>
      <xdr:rowOff>134211</xdr:rowOff>
    </xdr:to>
    <xdr:sp macro="" textlink="">
      <xdr:nvSpPr>
        <xdr:cNvPr id="5" name="Text Box 11">
          <a:extLst>
            <a:ext uri="{FF2B5EF4-FFF2-40B4-BE49-F238E27FC236}">
              <a16:creationId xmlns="" xmlns:a16="http://schemas.microsoft.com/office/drawing/2014/main" id="{00000000-0008-0000-0400-000005000000}"/>
            </a:ext>
          </a:extLst>
        </xdr:cNvPr>
        <xdr:cNvSpPr txBox="1">
          <a:spLocks noChangeArrowheads="1"/>
        </xdr:cNvSpPr>
      </xdr:nvSpPr>
      <xdr:spPr bwMode="auto">
        <a:xfrm>
          <a:off x="3038475" y="35471100"/>
          <a:ext cx="95250" cy="10867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9525</xdr:colOff>
      <xdr:row>43</xdr:row>
      <xdr:rowOff>0</xdr:rowOff>
    </xdr:from>
    <xdr:to>
      <xdr:col>3</xdr:col>
      <xdr:colOff>104775</xdr:colOff>
      <xdr:row>47</xdr:row>
      <xdr:rowOff>134211</xdr:rowOff>
    </xdr:to>
    <xdr:sp macro="" textlink="">
      <xdr:nvSpPr>
        <xdr:cNvPr id="6" name="Text Box 12">
          <a:extLst>
            <a:ext uri="{FF2B5EF4-FFF2-40B4-BE49-F238E27FC236}">
              <a16:creationId xmlns="" xmlns:a16="http://schemas.microsoft.com/office/drawing/2014/main" id="{00000000-0008-0000-0400-000006000000}"/>
            </a:ext>
          </a:extLst>
        </xdr:cNvPr>
        <xdr:cNvSpPr txBox="1">
          <a:spLocks noChangeArrowheads="1"/>
        </xdr:cNvSpPr>
      </xdr:nvSpPr>
      <xdr:spPr bwMode="auto">
        <a:xfrm>
          <a:off x="3038475" y="35471100"/>
          <a:ext cx="95250" cy="10867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43</xdr:row>
      <xdr:rowOff>0</xdr:rowOff>
    </xdr:from>
    <xdr:to>
      <xdr:col>3</xdr:col>
      <xdr:colOff>95250</xdr:colOff>
      <xdr:row>52</xdr:row>
      <xdr:rowOff>30863</xdr:rowOff>
    </xdr:to>
    <xdr:sp macro="" textlink="">
      <xdr:nvSpPr>
        <xdr:cNvPr id="7" name="Text Box 10">
          <a:extLst>
            <a:ext uri="{FF2B5EF4-FFF2-40B4-BE49-F238E27FC236}">
              <a16:creationId xmlns="" xmlns:a16="http://schemas.microsoft.com/office/drawing/2014/main" id="{00000000-0008-0000-0400-000007000000}"/>
            </a:ext>
          </a:extLst>
        </xdr:cNvPr>
        <xdr:cNvSpPr txBox="1">
          <a:spLocks noChangeArrowheads="1"/>
        </xdr:cNvSpPr>
      </xdr:nvSpPr>
      <xdr:spPr bwMode="auto">
        <a:xfrm>
          <a:off x="2238375" y="35471100"/>
          <a:ext cx="95250" cy="2173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43</xdr:row>
      <xdr:rowOff>0</xdr:rowOff>
    </xdr:from>
    <xdr:to>
      <xdr:col>3</xdr:col>
      <xdr:colOff>95250</xdr:colOff>
      <xdr:row>52</xdr:row>
      <xdr:rowOff>30863</xdr:rowOff>
    </xdr:to>
    <xdr:sp macro="" textlink="">
      <xdr:nvSpPr>
        <xdr:cNvPr id="8" name="Text Box 11">
          <a:extLst>
            <a:ext uri="{FF2B5EF4-FFF2-40B4-BE49-F238E27FC236}">
              <a16:creationId xmlns="" xmlns:a16="http://schemas.microsoft.com/office/drawing/2014/main" id="{00000000-0008-0000-0400-000008000000}"/>
            </a:ext>
          </a:extLst>
        </xdr:cNvPr>
        <xdr:cNvSpPr txBox="1">
          <a:spLocks noChangeArrowheads="1"/>
        </xdr:cNvSpPr>
      </xdr:nvSpPr>
      <xdr:spPr bwMode="auto">
        <a:xfrm>
          <a:off x="2238375" y="35471100"/>
          <a:ext cx="95250" cy="2173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43</xdr:row>
      <xdr:rowOff>0</xdr:rowOff>
    </xdr:from>
    <xdr:to>
      <xdr:col>3</xdr:col>
      <xdr:colOff>95250</xdr:colOff>
      <xdr:row>52</xdr:row>
      <xdr:rowOff>30863</xdr:rowOff>
    </xdr:to>
    <xdr:sp macro="" textlink="">
      <xdr:nvSpPr>
        <xdr:cNvPr id="9" name="Text Box 12">
          <a:extLst>
            <a:ext uri="{FF2B5EF4-FFF2-40B4-BE49-F238E27FC236}">
              <a16:creationId xmlns="" xmlns:a16="http://schemas.microsoft.com/office/drawing/2014/main" id="{00000000-0008-0000-0400-000009000000}"/>
            </a:ext>
          </a:extLst>
        </xdr:cNvPr>
        <xdr:cNvSpPr txBox="1">
          <a:spLocks noChangeArrowheads="1"/>
        </xdr:cNvSpPr>
      </xdr:nvSpPr>
      <xdr:spPr bwMode="auto">
        <a:xfrm>
          <a:off x="2238375" y="35471100"/>
          <a:ext cx="95250" cy="2173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9525</xdr:colOff>
      <xdr:row>43</xdr:row>
      <xdr:rowOff>0</xdr:rowOff>
    </xdr:from>
    <xdr:to>
      <xdr:col>3</xdr:col>
      <xdr:colOff>104775</xdr:colOff>
      <xdr:row>52</xdr:row>
      <xdr:rowOff>30863</xdr:rowOff>
    </xdr:to>
    <xdr:sp macro="" textlink="">
      <xdr:nvSpPr>
        <xdr:cNvPr id="10" name="Text Box 12">
          <a:extLst>
            <a:ext uri="{FF2B5EF4-FFF2-40B4-BE49-F238E27FC236}">
              <a16:creationId xmlns="" xmlns:a16="http://schemas.microsoft.com/office/drawing/2014/main" id="{00000000-0008-0000-0400-00000A000000}"/>
            </a:ext>
          </a:extLst>
        </xdr:cNvPr>
        <xdr:cNvSpPr txBox="1">
          <a:spLocks noChangeArrowheads="1"/>
        </xdr:cNvSpPr>
      </xdr:nvSpPr>
      <xdr:spPr bwMode="auto">
        <a:xfrm>
          <a:off x="3038475" y="35471100"/>
          <a:ext cx="95250" cy="2173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43</xdr:row>
      <xdr:rowOff>0</xdr:rowOff>
    </xdr:from>
    <xdr:to>
      <xdr:col>3</xdr:col>
      <xdr:colOff>95250</xdr:colOff>
      <xdr:row>53</xdr:row>
      <xdr:rowOff>50472</xdr:rowOff>
    </xdr:to>
    <xdr:sp macro="" textlink="">
      <xdr:nvSpPr>
        <xdr:cNvPr id="11" name="Text Box 10">
          <a:extLst>
            <a:ext uri="{FF2B5EF4-FFF2-40B4-BE49-F238E27FC236}">
              <a16:creationId xmlns="" xmlns:a16="http://schemas.microsoft.com/office/drawing/2014/main" id="{00000000-0008-0000-0400-00000B000000}"/>
            </a:ext>
          </a:extLst>
        </xdr:cNvPr>
        <xdr:cNvSpPr txBox="1">
          <a:spLocks noChangeArrowheads="1"/>
        </xdr:cNvSpPr>
      </xdr:nvSpPr>
      <xdr:spPr bwMode="auto">
        <a:xfrm>
          <a:off x="2238375" y="35471100"/>
          <a:ext cx="95250" cy="2431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43</xdr:row>
      <xdr:rowOff>0</xdr:rowOff>
    </xdr:from>
    <xdr:to>
      <xdr:col>3</xdr:col>
      <xdr:colOff>95250</xdr:colOff>
      <xdr:row>53</xdr:row>
      <xdr:rowOff>50472</xdr:rowOff>
    </xdr:to>
    <xdr:sp macro="" textlink="">
      <xdr:nvSpPr>
        <xdr:cNvPr id="12" name="Text Box 11">
          <a:extLst>
            <a:ext uri="{FF2B5EF4-FFF2-40B4-BE49-F238E27FC236}">
              <a16:creationId xmlns="" xmlns:a16="http://schemas.microsoft.com/office/drawing/2014/main" id="{00000000-0008-0000-0400-00000C000000}"/>
            </a:ext>
          </a:extLst>
        </xdr:cNvPr>
        <xdr:cNvSpPr txBox="1">
          <a:spLocks noChangeArrowheads="1"/>
        </xdr:cNvSpPr>
      </xdr:nvSpPr>
      <xdr:spPr bwMode="auto">
        <a:xfrm>
          <a:off x="2238375" y="35471100"/>
          <a:ext cx="95250" cy="2431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43</xdr:row>
      <xdr:rowOff>0</xdr:rowOff>
    </xdr:from>
    <xdr:to>
      <xdr:col>3</xdr:col>
      <xdr:colOff>95250</xdr:colOff>
      <xdr:row>53</xdr:row>
      <xdr:rowOff>50472</xdr:rowOff>
    </xdr:to>
    <xdr:sp macro="" textlink="">
      <xdr:nvSpPr>
        <xdr:cNvPr id="13" name="Text Box 12">
          <a:extLst>
            <a:ext uri="{FF2B5EF4-FFF2-40B4-BE49-F238E27FC236}">
              <a16:creationId xmlns="" xmlns:a16="http://schemas.microsoft.com/office/drawing/2014/main" id="{00000000-0008-0000-0400-00000D000000}"/>
            </a:ext>
          </a:extLst>
        </xdr:cNvPr>
        <xdr:cNvSpPr txBox="1">
          <a:spLocks noChangeArrowheads="1"/>
        </xdr:cNvSpPr>
      </xdr:nvSpPr>
      <xdr:spPr bwMode="auto">
        <a:xfrm>
          <a:off x="2238375" y="35471100"/>
          <a:ext cx="95250" cy="2431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9525</xdr:colOff>
      <xdr:row>43</xdr:row>
      <xdr:rowOff>0</xdr:rowOff>
    </xdr:from>
    <xdr:to>
      <xdr:col>3</xdr:col>
      <xdr:colOff>104775</xdr:colOff>
      <xdr:row>53</xdr:row>
      <xdr:rowOff>50472</xdr:rowOff>
    </xdr:to>
    <xdr:sp macro="" textlink="">
      <xdr:nvSpPr>
        <xdr:cNvPr id="14" name="Text Box 10">
          <a:extLst>
            <a:ext uri="{FF2B5EF4-FFF2-40B4-BE49-F238E27FC236}">
              <a16:creationId xmlns="" xmlns:a16="http://schemas.microsoft.com/office/drawing/2014/main" id="{00000000-0008-0000-0400-00000E000000}"/>
            </a:ext>
          </a:extLst>
        </xdr:cNvPr>
        <xdr:cNvSpPr txBox="1">
          <a:spLocks noChangeArrowheads="1"/>
        </xdr:cNvSpPr>
      </xdr:nvSpPr>
      <xdr:spPr bwMode="auto">
        <a:xfrm>
          <a:off x="3038475" y="35471100"/>
          <a:ext cx="95250" cy="2431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9525</xdr:colOff>
      <xdr:row>43</xdr:row>
      <xdr:rowOff>0</xdr:rowOff>
    </xdr:from>
    <xdr:to>
      <xdr:col>3</xdr:col>
      <xdr:colOff>104775</xdr:colOff>
      <xdr:row>53</xdr:row>
      <xdr:rowOff>50472</xdr:rowOff>
    </xdr:to>
    <xdr:sp macro="" textlink="">
      <xdr:nvSpPr>
        <xdr:cNvPr id="15" name="Text Box 11">
          <a:extLst>
            <a:ext uri="{FF2B5EF4-FFF2-40B4-BE49-F238E27FC236}">
              <a16:creationId xmlns="" xmlns:a16="http://schemas.microsoft.com/office/drawing/2014/main" id="{00000000-0008-0000-0400-00000F000000}"/>
            </a:ext>
          </a:extLst>
        </xdr:cNvPr>
        <xdr:cNvSpPr txBox="1">
          <a:spLocks noChangeArrowheads="1"/>
        </xdr:cNvSpPr>
      </xdr:nvSpPr>
      <xdr:spPr bwMode="auto">
        <a:xfrm>
          <a:off x="3038475" y="35471100"/>
          <a:ext cx="95250" cy="2431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9525</xdr:colOff>
      <xdr:row>43</xdr:row>
      <xdr:rowOff>0</xdr:rowOff>
    </xdr:from>
    <xdr:to>
      <xdr:col>3</xdr:col>
      <xdr:colOff>104775</xdr:colOff>
      <xdr:row>53</xdr:row>
      <xdr:rowOff>50472</xdr:rowOff>
    </xdr:to>
    <xdr:sp macro="" textlink="">
      <xdr:nvSpPr>
        <xdr:cNvPr id="16" name="Text Box 12">
          <a:extLst>
            <a:ext uri="{FF2B5EF4-FFF2-40B4-BE49-F238E27FC236}">
              <a16:creationId xmlns="" xmlns:a16="http://schemas.microsoft.com/office/drawing/2014/main" id="{00000000-0008-0000-0400-000010000000}"/>
            </a:ext>
          </a:extLst>
        </xdr:cNvPr>
        <xdr:cNvSpPr txBox="1">
          <a:spLocks noChangeArrowheads="1"/>
        </xdr:cNvSpPr>
      </xdr:nvSpPr>
      <xdr:spPr bwMode="auto">
        <a:xfrm>
          <a:off x="3038475" y="35471100"/>
          <a:ext cx="95250" cy="24317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9525</xdr:colOff>
      <xdr:row>43</xdr:row>
      <xdr:rowOff>0</xdr:rowOff>
    </xdr:from>
    <xdr:to>
      <xdr:col>3</xdr:col>
      <xdr:colOff>104775</xdr:colOff>
      <xdr:row>47</xdr:row>
      <xdr:rowOff>127487</xdr:rowOff>
    </xdr:to>
    <xdr:sp macro="" textlink="">
      <xdr:nvSpPr>
        <xdr:cNvPr id="17" name="Text Box 10">
          <a:extLst>
            <a:ext uri="{FF2B5EF4-FFF2-40B4-BE49-F238E27FC236}">
              <a16:creationId xmlns="" xmlns:a16="http://schemas.microsoft.com/office/drawing/2014/main" id="{00000000-0008-0000-0400-000011000000}"/>
            </a:ext>
          </a:extLst>
        </xdr:cNvPr>
        <xdr:cNvSpPr txBox="1">
          <a:spLocks noChangeArrowheads="1"/>
        </xdr:cNvSpPr>
      </xdr:nvSpPr>
      <xdr:spPr bwMode="auto">
        <a:xfrm>
          <a:off x="3038475" y="35471100"/>
          <a:ext cx="95250" cy="1079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9525</xdr:colOff>
      <xdr:row>43</xdr:row>
      <xdr:rowOff>0</xdr:rowOff>
    </xdr:from>
    <xdr:to>
      <xdr:col>3</xdr:col>
      <xdr:colOff>104775</xdr:colOff>
      <xdr:row>47</xdr:row>
      <xdr:rowOff>127487</xdr:rowOff>
    </xdr:to>
    <xdr:sp macro="" textlink="">
      <xdr:nvSpPr>
        <xdr:cNvPr id="18" name="Text Box 11">
          <a:extLst>
            <a:ext uri="{FF2B5EF4-FFF2-40B4-BE49-F238E27FC236}">
              <a16:creationId xmlns="" xmlns:a16="http://schemas.microsoft.com/office/drawing/2014/main" id="{00000000-0008-0000-0400-000012000000}"/>
            </a:ext>
          </a:extLst>
        </xdr:cNvPr>
        <xdr:cNvSpPr txBox="1">
          <a:spLocks noChangeArrowheads="1"/>
        </xdr:cNvSpPr>
      </xdr:nvSpPr>
      <xdr:spPr bwMode="auto">
        <a:xfrm>
          <a:off x="3038475" y="35471100"/>
          <a:ext cx="95250" cy="107998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14</xdr:col>
      <xdr:colOff>148071</xdr:colOff>
      <xdr:row>43</xdr:row>
      <xdr:rowOff>0</xdr:rowOff>
    </xdr:from>
    <xdr:to>
      <xdr:col>14</xdr:col>
      <xdr:colOff>243321</xdr:colOff>
      <xdr:row>47</xdr:row>
      <xdr:rowOff>129962</xdr:rowOff>
    </xdr:to>
    <xdr:sp macro="" textlink="">
      <xdr:nvSpPr>
        <xdr:cNvPr id="19" name="Text Box 12">
          <a:extLst>
            <a:ext uri="{FF2B5EF4-FFF2-40B4-BE49-F238E27FC236}">
              <a16:creationId xmlns="" xmlns:a16="http://schemas.microsoft.com/office/drawing/2014/main" id="{00000000-0008-0000-0400-000013000000}"/>
            </a:ext>
          </a:extLst>
        </xdr:cNvPr>
        <xdr:cNvSpPr txBox="1">
          <a:spLocks noChangeArrowheads="1"/>
        </xdr:cNvSpPr>
      </xdr:nvSpPr>
      <xdr:spPr bwMode="auto">
        <a:xfrm>
          <a:off x="15578571" y="35471100"/>
          <a:ext cx="95250" cy="10824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9525</xdr:colOff>
      <xdr:row>24</xdr:row>
      <xdr:rowOff>0</xdr:rowOff>
    </xdr:from>
    <xdr:to>
      <xdr:col>2</xdr:col>
      <xdr:colOff>104775</xdr:colOff>
      <xdr:row>30</xdr:row>
      <xdr:rowOff>305701</xdr:rowOff>
    </xdr:to>
    <xdr:sp macro="" textlink="">
      <xdr:nvSpPr>
        <xdr:cNvPr id="2" name="Text Box 10">
          <a:extLst>
            <a:ext uri="{FF2B5EF4-FFF2-40B4-BE49-F238E27FC236}">
              <a16:creationId xmlns="" xmlns:a16="http://schemas.microsoft.com/office/drawing/2014/main" id="{071A24D4-4C1E-4F09-9CFF-CC5367C7DC1A}"/>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3" name="Text Box 11">
          <a:extLst>
            <a:ext uri="{FF2B5EF4-FFF2-40B4-BE49-F238E27FC236}">
              <a16:creationId xmlns="" xmlns:a16="http://schemas.microsoft.com/office/drawing/2014/main" id="{1325CC10-4FCA-4D06-834B-19720AD7DAAC}"/>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4" name="Text Box 12">
          <a:extLst>
            <a:ext uri="{FF2B5EF4-FFF2-40B4-BE49-F238E27FC236}">
              <a16:creationId xmlns="" xmlns:a16="http://schemas.microsoft.com/office/drawing/2014/main" id="{C215096B-E6C2-4688-A3FE-4062711A3744}"/>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5" name="Text Box 10">
          <a:extLst>
            <a:ext uri="{FF2B5EF4-FFF2-40B4-BE49-F238E27FC236}">
              <a16:creationId xmlns="" xmlns:a16="http://schemas.microsoft.com/office/drawing/2014/main" id="{49CFD688-05D8-4839-A181-4295FB63C1D9}"/>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6" name="Text Box 11">
          <a:extLst>
            <a:ext uri="{FF2B5EF4-FFF2-40B4-BE49-F238E27FC236}">
              <a16:creationId xmlns="" xmlns:a16="http://schemas.microsoft.com/office/drawing/2014/main" id="{421B85ED-E5C2-4C9D-99D8-81944C878ED3}"/>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7" name="Text Box 12">
          <a:extLst>
            <a:ext uri="{FF2B5EF4-FFF2-40B4-BE49-F238E27FC236}">
              <a16:creationId xmlns="" xmlns:a16="http://schemas.microsoft.com/office/drawing/2014/main" id="{2D0954B9-147E-4223-925C-65CAB8BD4699}"/>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8" name="Text Box 10">
          <a:extLst>
            <a:ext uri="{FF2B5EF4-FFF2-40B4-BE49-F238E27FC236}">
              <a16:creationId xmlns="" xmlns:a16="http://schemas.microsoft.com/office/drawing/2014/main" id="{314913EB-F336-4B5C-8F9A-5DA966B5B22C}"/>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9" name="Text Box 11">
          <a:extLst>
            <a:ext uri="{FF2B5EF4-FFF2-40B4-BE49-F238E27FC236}">
              <a16:creationId xmlns="" xmlns:a16="http://schemas.microsoft.com/office/drawing/2014/main" id="{052A70EC-4EC1-4BCB-B668-DF16979A0EF6}"/>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10" name="Text Box 12">
          <a:extLst>
            <a:ext uri="{FF2B5EF4-FFF2-40B4-BE49-F238E27FC236}">
              <a16:creationId xmlns="" xmlns:a16="http://schemas.microsoft.com/office/drawing/2014/main" id="{CD17B442-BE45-41B9-B941-CD4A9E3D49F7}"/>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11" name="Text Box 10">
          <a:extLst>
            <a:ext uri="{FF2B5EF4-FFF2-40B4-BE49-F238E27FC236}">
              <a16:creationId xmlns="" xmlns:a16="http://schemas.microsoft.com/office/drawing/2014/main" id="{DA6DC5C4-C81A-4E7E-8E0C-0A85E0FAD383}"/>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12" name="Text Box 11">
          <a:extLst>
            <a:ext uri="{FF2B5EF4-FFF2-40B4-BE49-F238E27FC236}">
              <a16:creationId xmlns="" xmlns:a16="http://schemas.microsoft.com/office/drawing/2014/main" id="{E3321C0E-815D-4B1C-BA79-7C7A1BA6834A}"/>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13" name="Text Box 12">
          <a:extLst>
            <a:ext uri="{FF2B5EF4-FFF2-40B4-BE49-F238E27FC236}">
              <a16:creationId xmlns="" xmlns:a16="http://schemas.microsoft.com/office/drawing/2014/main" id="{BC66618B-B675-4EA6-978B-D6C2DF5DC513}"/>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14" name="Text Box 10">
          <a:extLst>
            <a:ext uri="{FF2B5EF4-FFF2-40B4-BE49-F238E27FC236}">
              <a16:creationId xmlns="" xmlns:a16="http://schemas.microsoft.com/office/drawing/2014/main" id="{3FB2D3F8-337B-4B0A-A982-436D1CC867AD}"/>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15" name="Text Box 11">
          <a:extLst>
            <a:ext uri="{FF2B5EF4-FFF2-40B4-BE49-F238E27FC236}">
              <a16:creationId xmlns="" xmlns:a16="http://schemas.microsoft.com/office/drawing/2014/main" id="{37AD35C9-8273-4094-8B3B-0098A6D1EF30}"/>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16" name="Text Box 12">
          <a:extLst>
            <a:ext uri="{FF2B5EF4-FFF2-40B4-BE49-F238E27FC236}">
              <a16:creationId xmlns="" xmlns:a16="http://schemas.microsoft.com/office/drawing/2014/main" id="{3DC57AB1-2772-4486-B116-2D973B973256}"/>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17" name="Text Box 10">
          <a:extLst>
            <a:ext uri="{FF2B5EF4-FFF2-40B4-BE49-F238E27FC236}">
              <a16:creationId xmlns="" xmlns:a16="http://schemas.microsoft.com/office/drawing/2014/main" id="{EE6A52D8-9415-43EE-8223-4D280EF0DD7D}"/>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18" name="Text Box 11">
          <a:extLst>
            <a:ext uri="{FF2B5EF4-FFF2-40B4-BE49-F238E27FC236}">
              <a16:creationId xmlns="" xmlns:a16="http://schemas.microsoft.com/office/drawing/2014/main" id="{B5D408BF-F4B6-45D5-8A8A-83666FC00F81}"/>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19" name="Text Box 12">
          <a:extLst>
            <a:ext uri="{FF2B5EF4-FFF2-40B4-BE49-F238E27FC236}">
              <a16:creationId xmlns="" xmlns:a16="http://schemas.microsoft.com/office/drawing/2014/main" id="{E55520D8-2ADC-4C20-AA9B-7AC44CAED2BA}"/>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20" name="Text Box 10">
          <a:extLst>
            <a:ext uri="{FF2B5EF4-FFF2-40B4-BE49-F238E27FC236}">
              <a16:creationId xmlns="" xmlns:a16="http://schemas.microsoft.com/office/drawing/2014/main" id="{5F752F92-29B5-4D99-9FB1-A29F5ECCC45A}"/>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21" name="Text Box 11">
          <a:extLst>
            <a:ext uri="{FF2B5EF4-FFF2-40B4-BE49-F238E27FC236}">
              <a16:creationId xmlns="" xmlns:a16="http://schemas.microsoft.com/office/drawing/2014/main" id="{2ADC9A45-89BB-41FE-B0FF-DDE4172BC955}"/>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22" name="Text Box 12">
          <a:extLst>
            <a:ext uri="{FF2B5EF4-FFF2-40B4-BE49-F238E27FC236}">
              <a16:creationId xmlns="" xmlns:a16="http://schemas.microsoft.com/office/drawing/2014/main" id="{CB8C60A4-2DB8-4215-B79B-AE7A8237FB84}"/>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23" name="Text Box 10">
          <a:extLst>
            <a:ext uri="{FF2B5EF4-FFF2-40B4-BE49-F238E27FC236}">
              <a16:creationId xmlns="" xmlns:a16="http://schemas.microsoft.com/office/drawing/2014/main" id="{BB1CCDF3-278A-4998-975A-D4C202EA05CB}"/>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24" name="Text Box 11">
          <a:extLst>
            <a:ext uri="{FF2B5EF4-FFF2-40B4-BE49-F238E27FC236}">
              <a16:creationId xmlns="" xmlns:a16="http://schemas.microsoft.com/office/drawing/2014/main" id="{450D7788-2F00-4A9E-BB09-FE4060F8C7C5}"/>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25" name="Text Box 12">
          <a:extLst>
            <a:ext uri="{FF2B5EF4-FFF2-40B4-BE49-F238E27FC236}">
              <a16:creationId xmlns="" xmlns:a16="http://schemas.microsoft.com/office/drawing/2014/main" id="{D1D618BE-265C-410F-BF4D-E985CF64DBE3}"/>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26" name="Text Box 10">
          <a:extLst>
            <a:ext uri="{FF2B5EF4-FFF2-40B4-BE49-F238E27FC236}">
              <a16:creationId xmlns="" xmlns:a16="http://schemas.microsoft.com/office/drawing/2014/main" id="{FF316C6E-5323-4EA1-B77D-185347F1B0CB}"/>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27" name="Text Box 11">
          <a:extLst>
            <a:ext uri="{FF2B5EF4-FFF2-40B4-BE49-F238E27FC236}">
              <a16:creationId xmlns="" xmlns:a16="http://schemas.microsoft.com/office/drawing/2014/main" id="{5F853F88-5208-45D7-995C-1F09F42FE7B5}"/>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28" name="Text Box 12">
          <a:extLst>
            <a:ext uri="{FF2B5EF4-FFF2-40B4-BE49-F238E27FC236}">
              <a16:creationId xmlns="" xmlns:a16="http://schemas.microsoft.com/office/drawing/2014/main" id="{52DD6C14-5EA6-4638-8868-F868975F180C}"/>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29" name="Text Box 10">
          <a:extLst>
            <a:ext uri="{FF2B5EF4-FFF2-40B4-BE49-F238E27FC236}">
              <a16:creationId xmlns="" xmlns:a16="http://schemas.microsoft.com/office/drawing/2014/main" id="{94561429-D88E-40BD-A12E-289C141157CA}"/>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30" name="Text Box 11">
          <a:extLst>
            <a:ext uri="{FF2B5EF4-FFF2-40B4-BE49-F238E27FC236}">
              <a16:creationId xmlns="" xmlns:a16="http://schemas.microsoft.com/office/drawing/2014/main" id="{A596570F-7852-413B-8BC9-DB963B66C71D}"/>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31" name="Text Box 12">
          <a:extLst>
            <a:ext uri="{FF2B5EF4-FFF2-40B4-BE49-F238E27FC236}">
              <a16:creationId xmlns="" xmlns:a16="http://schemas.microsoft.com/office/drawing/2014/main" id="{CCA3D061-B71A-4BCD-A8F6-481E20716A46}"/>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32" name="Text Box 10">
          <a:extLst>
            <a:ext uri="{FF2B5EF4-FFF2-40B4-BE49-F238E27FC236}">
              <a16:creationId xmlns="" xmlns:a16="http://schemas.microsoft.com/office/drawing/2014/main" id="{82ED0F6A-8598-4B1E-95B3-4ED0926BE53C}"/>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33" name="Text Box 11">
          <a:extLst>
            <a:ext uri="{FF2B5EF4-FFF2-40B4-BE49-F238E27FC236}">
              <a16:creationId xmlns="" xmlns:a16="http://schemas.microsoft.com/office/drawing/2014/main" id="{5FFE56F8-866C-40EE-8A7D-9A0FB16CD64B}"/>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34" name="Text Box 12">
          <a:extLst>
            <a:ext uri="{FF2B5EF4-FFF2-40B4-BE49-F238E27FC236}">
              <a16:creationId xmlns="" xmlns:a16="http://schemas.microsoft.com/office/drawing/2014/main" id="{039BE1DA-1FDE-4490-8C6B-F9C5DFCA9439}"/>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35" name="Text Box 10">
          <a:extLst>
            <a:ext uri="{FF2B5EF4-FFF2-40B4-BE49-F238E27FC236}">
              <a16:creationId xmlns="" xmlns:a16="http://schemas.microsoft.com/office/drawing/2014/main" id="{6A17CF78-6796-466C-8664-E2AD2602E504}"/>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36" name="Text Box 11">
          <a:extLst>
            <a:ext uri="{FF2B5EF4-FFF2-40B4-BE49-F238E27FC236}">
              <a16:creationId xmlns="" xmlns:a16="http://schemas.microsoft.com/office/drawing/2014/main" id="{F532D1EA-7F51-4ADD-AD97-BEC6CFEC1088}"/>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37" name="Text Box 12">
          <a:extLst>
            <a:ext uri="{FF2B5EF4-FFF2-40B4-BE49-F238E27FC236}">
              <a16:creationId xmlns="" xmlns:a16="http://schemas.microsoft.com/office/drawing/2014/main" id="{6F85D585-87FA-48FD-A42D-79CF7FFA6657}"/>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38" name="Text Box 10">
          <a:extLst>
            <a:ext uri="{FF2B5EF4-FFF2-40B4-BE49-F238E27FC236}">
              <a16:creationId xmlns="" xmlns:a16="http://schemas.microsoft.com/office/drawing/2014/main" id="{900F894F-05DC-4F2B-B18D-29DEB2118EF6}"/>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39" name="Text Box 11">
          <a:extLst>
            <a:ext uri="{FF2B5EF4-FFF2-40B4-BE49-F238E27FC236}">
              <a16:creationId xmlns="" xmlns:a16="http://schemas.microsoft.com/office/drawing/2014/main" id="{09001F82-BB71-490B-8435-4FB54C97D762}"/>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40" name="Text Box 12">
          <a:extLst>
            <a:ext uri="{FF2B5EF4-FFF2-40B4-BE49-F238E27FC236}">
              <a16:creationId xmlns="" xmlns:a16="http://schemas.microsoft.com/office/drawing/2014/main" id="{C3156E86-9BD2-4F19-868E-46D6293FC46B}"/>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41" name="Text Box 10">
          <a:extLst>
            <a:ext uri="{FF2B5EF4-FFF2-40B4-BE49-F238E27FC236}">
              <a16:creationId xmlns="" xmlns:a16="http://schemas.microsoft.com/office/drawing/2014/main" id="{79280DC8-7EB2-40A6-BAC2-2A316A50BB64}"/>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42" name="Text Box 11">
          <a:extLst>
            <a:ext uri="{FF2B5EF4-FFF2-40B4-BE49-F238E27FC236}">
              <a16:creationId xmlns="" xmlns:a16="http://schemas.microsoft.com/office/drawing/2014/main" id="{942E094D-0AC3-4AC9-8780-1E8C31202E70}"/>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43" name="Text Box 12">
          <a:extLst>
            <a:ext uri="{FF2B5EF4-FFF2-40B4-BE49-F238E27FC236}">
              <a16:creationId xmlns="" xmlns:a16="http://schemas.microsoft.com/office/drawing/2014/main" id="{1E9233E9-6CDA-412C-8CBA-F8DAC829C47B}"/>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44" name="Text Box 10">
          <a:extLst>
            <a:ext uri="{FF2B5EF4-FFF2-40B4-BE49-F238E27FC236}">
              <a16:creationId xmlns="" xmlns:a16="http://schemas.microsoft.com/office/drawing/2014/main" id="{842A0A3E-15AE-4FF5-A44A-ABE4B2BA1922}"/>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45" name="Text Box 11">
          <a:extLst>
            <a:ext uri="{FF2B5EF4-FFF2-40B4-BE49-F238E27FC236}">
              <a16:creationId xmlns="" xmlns:a16="http://schemas.microsoft.com/office/drawing/2014/main" id="{8F3DB031-9462-4748-8231-A750CAC16DBE}"/>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46" name="Text Box 12">
          <a:extLst>
            <a:ext uri="{FF2B5EF4-FFF2-40B4-BE49-F238E27FC236}">
              <a16:creationId xmlns="" xmlns:a16="http://schemas.microsoft.com/office/drawing/2014/main" id="{39A228DA-89A7-43BC-801A-0EE5D15EBB62}"/>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47" name="Text Box 10">
          <a:extLst>
            <a:ext uri="{FF2B5EF4-FFF2-40B4-BE49-F238E27FC236}">
              <a16:creationId xmlns="" xmlns:a16="http://schemas.microsoft.com/office/drawing/2014/main" id="{5C2A8F23-4B3E-4160-8CE8-07F7E69D3337}"/>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48" name="Text Box 11">
          <a:extLst>
            <a:ext uri="{FF2B5EF4-FFF2-40B4-BE49-F238E27FC236}">
              <a16:creationId xmlns="" xmlns:a16="http://schemas.microsoft.com/office/drawing/2014/main" id="{FB87F010-5A10-480C-A5E1-43340C71EF6F}"/>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49" name="Text Box 12">
          <a:extLst>
            <a:ext uri="{FF2B5EF4-FFF2-40B4-BE49-F238E27FC236}">
              <a16:creationId xmlns="" xmlns:a16="http://schemas.microsoft.com/office/drawing/2014/main" id="{234B75CB-E725-4C9F-9388-44FFB0397FBF}"/>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50" name="Text Box 10">
          <a:extLst>
            <a:ext uri="{FF2B5EF4-FFF2-40B4-BE49-F238E27FC236}">
              <a16:creationId xmlns="" xmlns:a16="http://schemas.microsoft.com/office/drawing/2014/main" id="{9F994DAE-2BEA-494E-AA53-33E23C5AB22A}"/>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51" name="Text Box 11">
          <a:extLst>
            <a:ext uri="{FF2B5EF4-FFF2-40B4-BE49-F238E27FC236}">
              <a16:creationId xmlns="" xmlns:a16="http://schemas.microsoft.com/office/drawing/2014/main" id="{C6C38F9F-5A78-437F-9702-34BBA7686247}"/>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52" name="Text Box 12">
          <a:extLst>
            <a:ext uri="{FF2B5EF4-FFF2-40B4-BE49-F238E27FC236}">
              <a16:creationId xmlns="" xmlns:a16="http://schemas.microsoft.com/office/drawing/2014/main" id="{8D173B7F-FA3B-48CB-8FA9-6664C93B3C88}"/>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53" name="Text Box 10">
          <a:extLst>
            <a:ext uri="{FF2B5EF4-FFF2-40B4-BE49-F238E27FC236}">
              <a16:creationId xmlns="" xmlns:a16="http://schemas.microsoft.com/office/drawing/2014/main" id="{371FC884-9622-4975-9C5B-BD2C141E07CC}"/>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54" name="Text Box 11">
          <a:extLst>
            <a:ext uri="{FF2B5EF4-FFF2-40B4-BE49-F238E27FC236}">
              <a16:creationId xmlns="" xmlns:a16="http://schemas.microsoft.com/office/drawing/2014/main" id="{386E8733-87DD-4285-88A9-B08D6984A189}"/>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55" name="Text Box 12">
          <a:extLst>
            <a:ext uri="{FF2B5EF4-FFF2-40B4-BE49-F238E27FC236}">
              <a16:creationId xmlns="" xmlns:a16="http://schemas.microsoft.com/office/drawing/2014/main" id="{12B23A37-77AE-44BD-9E4A-FA1E69417D94}"/>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56" name="Text Box 10">
          <a:extLst>
            <a:ext uri="{FF2B5EF4-FFF2-40B4-BE49-F238E27FC236}">
              <a16:creationId xmlns="" xmlns:a16="http://schemas.microsoft.com/office/drawing/2014/main" id="{D70DA851-9A9C-4C99-99D8-5832ACC7880A}"/>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57" name="Text Box 11">
          <a:extLst>
            <a:ext uri="{FF2B5EF4-FFF2-40B4-BE49-F238E27FC236}">
              <a16:creationId xmlns="" xmlns:a16="http://schemas.microsoft.com/office/drawing/2014/main" id="{8619C15C-6A9F-4013-8DD8-AF35F22D7239}"/>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58" name="Text Box 12">
          <a:extLst>
            <a:ext uri="{FF2B5EF4-FFF2-40B4-BE49-F238E27FC236}">
              <a16:creationId xmlns="" xmlns:a16="http://schemas.microsoft.com/office/drawing/2014/main" id="{609FD31D-57D9-454C-9AC2-5073C6B6275D}"/>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59" name="Text Box 10">
          <a:extLst>
            <a:ext uri="{FF2B5EF4-FFF2-40B4-BE49-F238E27FC236}">
              <a16:creationId xmlns="" xmlns:a16="http://schemas.microsoft.com/office/drawing/2014/main" id="{CDBACE8C-E974-484B-B534-3C9D926EAA54}"/>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60" name="Text Box 11">
          <a:extLst>
            <a:ext uri="{FF2B5EF4-FFF2-40B4-BE49-F238E27FC236}">
              <a16:creationId xmlns="" xmlns:a16="http://schemas.microsoft.com/office/drawing/2014/main" id="{EC3FF094-5277-4308-87E6-CB1154833CF5}"/>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61" name="Text Box 12">
          <a:extLst>
            <a:ext uri="{FF2B5EF4-FFF2-40B4-BE49-F238E27FC236}">
              <a16:creationId xmlns="" xmlns:a16="http://schemas.microsoft.com/office/drawing/2014/main" id="{DF3F85E0-0004-463E-BE96-97FD01EFC291}"/>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62" name="Text Box 10">
          <a:extLst>
            <a:ext uri="{FF2B5EF4-FFF2-40B4-BE49-F238E27FC236}">
              <a16:creationId xmlns="" xmlns:a16="http://schemas.microsoft.com/office/drawing/2014/main" id="{59D07F04-B5A6-4A2E-8140-9238C9B4284C}"/>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63" name="Text Box 11">
          <a:extLst>
            <a:ext uri="{FF2B5EF4-FFF2-40B4-BE49-F238E27FC236}">
              <a16:creationId xmlns="" xmlns:a16="http://schemas.microsoft.com/office/drawing/2014/main" id="{7A3BD046-AF19-46A5-B2BF-47D2E2C050CE}"/>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64" name="Text Box 12">
          <a:extLst>
            <a:ext uri="{FF2B5EF4-FFF2-40B4-BE49-F238E27FC236}">
              <a16:creationId xmlns="" xmlns:a16="http://schemas.microsoft.com/office/drawing/2014/main" id="{A195222E-7811-424C-B514-D371FA5B5ED3}"/>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65" name="Text Box 10">
          <a:extLst>
            <a:ext uri="{FF2B5EF4-FFF2-40B4-BE49-F238E27FC236}">
              <a16:creationId xmlns="" xmlns:a16="http://schemas.microsoft.com/office/drawing/2014/main" id="{3AD31F43-0AFF-4A75-8186-CE70138CA1C6}"/>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66" name="Text Box 11">
          <a:extLst>
            <a:ext uri="{FF2B5EF4-FFF2-40B4-BE49-F238E27FC236}">
              <a16:creationId xmlns="" xmlns:a16="http://schemas.microsoft.com/office/drawing/2014/main" id="{05E1C281-DF8C-44DE-BE84-1A6ABBF5622C}"/>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67" name="Text Box 12">
          <a:extLst>
            <a:ext uri="{FF2B5EF4-FFF2-40B4-BE49-F238E27FC236}">
              <a16:creationId xmlns="" xmlns:a16="http://schemas.microsoft.com/office/drawing/2014/main" id="{9A813562-BA46-473F-91CD-5F7C2692C7ED}"/>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68" name="Text Box 10">
          <a:extLst>
            <a:ext uri="{FF2B5EF4-FFF2-40B4-BE49-F238E27FC236}">
              <a16:creationId xmlns="" xmlns:a16="http://schemas.microsoft.com/office/drawing/2014/main" id="{F6909863-90E3-41EE-8DDC-D62A18BDD142}"/>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69" name="Text Box 11">
          <a:extLst>
            <a:ext uri="{FF2B5EF4-FFF2-40B4-BE49-F238E27FC236}">
              <a16:creationId xmlns="" xmlns:a16="http://schemas.microsoft.com/office/drawing/2014/main" id="{C6BF12D6-86B9-4D4C-AEE9-817363634F1E}"/>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70" name="Text Box 12">
          <a:extLst>
            <a:ext uri="{FF2B5EF4-FFF2-40B4-BE49-F238E27FC236}">
              <a16:creationId xmlns="" xmlns:a16="http://schemas.microsoft.com/office/drawing/2014/main" id="{9503C85B-2C23-488B-B0A3-C00BD8A42352}"/>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71" name="Text Box 10">
          <a:extLst>
            <a:ext uri="{FF2B5EF4-FFF2-40B4-BE49-F238E27FC236}">
              <a16:creationId xmlns="" xmlns:a16="http://schemas.microsoft.com/office/drawing/2014/main" id="{B2F06DD9-70B0-490E-902C-8E35030A1EF0}"/>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72" name="Text Box 11">
          <a:extLst>
            <a:ext uri="{FF2B5EF4-FFF2-40B4-BE49-F238E27FC236}">
              <a16:creationId xmlns="" xmlns:a16="http://schemas.microsoft.com/office/drawing/2014/main" id="{4389FD00-7818-4111-ABDD-5F7C8481E88E}"/>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73" name="Text Box 12">
          <a:extLst>
            <a:ext uri="{FF2B5EF4-FFF2-40B4-BE49-F238E27FC236}">
              <a16:creationId xmlns="" xmlns:a16="http://schemas.microsoft.com/office/drawing/2014/main" id="{520BFD74-E363-44BC-9259-32DDD7710A14}"/>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74" name="Text Box 10">
          <a:extLst>
            <a:ext uri="{FF2B5EF4-FFF2-40B4-BE49-F238E27FC236}">
              <a16:creationId xmlns="" xmlns:a16="http://schemas.microsoft.com/office/drawing/2014/main" id="{CF51FACA-7ADD-403A-A230-098191FA7B1A}"/>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75" name="Text Box 11">
          <a:extLst>
            <a:ext uri="{FF2B5EF4-FFF2-40B4-BE49-F238E27FC236}">
              <a16:creationId xmlns="" xmlns:a16="http://schemas.microsoft.com/office/drawing/2014/main" id="{62F4F20C-8A87-490D-871E-B724B560B285}"/>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76" name="Text Box 12">
          <a:extLst>
            <a:ext uri="{FF2B5EF4-FFF2-40B4-BE49-F238E27FC236}">
              <a16:creationId xmlns="" xmlns:a16="http://schemas.microsoft.com/office/drawing/2014/main" id="{99C39108-A641-4D9D-ADA0-C167732EEE4D}"/>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77" name="Text Box 10">
          <a:extLst>
            <a:ext uri="{FF2B5EF4-FFF2-40B4-BE49-F238E27FC236}">
              <a16:creationId xmlns="" xmlns:a16="http://schemas.microsoft.com/office/drawing/2014/main" id="{A9A3727A-49C7-41A5-8C8C-4BD83C3005FA}"/>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78" name="Text Box 11">
          <a:extLst>
            <a:ext uri="{FF2B5EF4-FFF2-40B4-BE49-F238E27FC236}">
              <a16:creationId xmlns="" xmlns:a16="http://schemas.microsoft.com/office/drawing/2014/main" id="{F13992CC-8E6B-4275-BCCB-A61086F5FDE9}"/>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79" name="Text Box 12">
          <a:extLst>
            <a:ext uri="{FF2B5EF4-FFF2-40B4-BE49-F238E27FC236}">
              <a16:creationId xmlns="" xmlns:a16="http://schemas.microsoft.com/office/drawing/2014/main" id="{E37F266D-F537-4EFC-BBF6-DE0FE22CD812}"/>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80" name="Text Box 10">
          <a:extLst>
            <a:ext uri="{FF2B5EF4-FFF2-40B4-BE49-F238E27FC236}">
              <a16:creationId xmlns="" xmlns:a16="http://schemas.microsoft.com/office/drawing/2014/main" id="{4313B635-BDB9-4632-B172-FB3B218D2DA8}"/>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81" name="Text Box 11">
          <a:extLst>
            <a:ext uri="{FF2B5EF4-FFF2-40B4-BE49-F238E27FC236}">
              <a16:creationId xmlns="" xmlns:a16="http://schemas.microsoft.com/office/drawing/2014/main" id="{C0DC4964-255D-47FF-8593-2508CAD24C85}"/>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82" name="Text Box 12">
          <a:extLst>
            <a:ext uri="{FF2B5EF4-FFF2-40B4-BE49-F238E27FC236}">
              <a16:creationId xmlns="" xmlns:a16="http://schemas.microsoft.com/office/drawing/2014/main" id="{BEDDA6A4-E4D0-4FE0-89EC-6FEB3B6A3FDF}"/>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83" name="Text Box 10">
          <a:extLst>
            <a:ext uri="{FF2B5EF4-FFF2-40B4-BE49-F238E27FC236}">
              <a16:creationId xmlns="" xmlns:a16="http://schemas.microsoft.com/office/drawing/2014/main" id="{A413BF2F-8C48-4F8B-90C5-92C29E851985}"/>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84" name="Text Box 11">
          <a:extLst>
            <a:ext uri="{FF2B5EF4-FFF2-40B4-BE49-F238E27FC236}">
              <a16:creationId xmlns="" xmlns:a16="http://schemas.microsoft.com/office/drawing/2014/main" id="{42AFA4B6-E9EE-4930-9313-0D1C5CAAE11D}"/>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85" name="Text Box 12">
          <a:extLst>
            <a:ext uri="{FF2B5EF4-FFF2-40B4-BE49-F238E27FC236}">
              <a16:creationId xmlns="" xmlns:a16="http://schemas.microsoft.com/office/drawing/2014/main" id="{31047E6F-24B7-4F8F-8841-EFAF2332D3FD}"/>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86" name="Text Box 10">
          <a:extLst>
            <a:ext uri="{FF2B5EF4-FFF2-40B4-BE49-F238E27FC236}">
              <a16:creationId xmlns="" xmlns:a16="http://schemas.microsoft.com/office/drawing/2014/main" id="{E55E9C91-E933-4009-B149-A1E25B93F9A5}"/>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87" name="Text Box 11">
          <a:extLst>
            <a:ext uri="{FF2B5EF4-FFF2-40B4-BE49-F238E27FC236}">
              <a16:creationId xmlns="" xmlns:a16="http://schemas.microsoft.com/office/drawing/2014/main" id="{BF175830-4C13-4607-B661-4FA77EAF3519}"/>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88" name="Text Box 12">
          <a:extLst>
            <a:ext uri="{FF2B5EF4-FFF2-40B4-BE49-F238E27FC236}">
              <a16:creationId xmlns="" xmlns:a16="http://schemas.microsoft.com/office/drawing/2014/main" id="{7F834A6D-3CB7-423E-BF3C-D077FA0B5239}"/>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89" name="Text Box 10">
          <a:extLst>
            <a:ext uri="{FF2B5EF4-FFF2-40B4-BE49-F238E27FC236}">
              <a16:creationId xmlns="" xmlns:a16="http://schemas.microsoft.com/office/drawing/2014/main" id="{3C1EF948-EB78-40BC-82B9-3B91D17DA353}"/>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90" name="Text Box 11">
          <a:extLst>
            <a:ext uri="{FF2B5EF4-FFF2-40B4-BE49-F238E27FC236}">
              <a16:creationId xmlns="" xmlns:a16="http://schemas.microsoft.com/office/drawing/2014/main" id="{4E6E6EC6-D9E5-46FA-8A2A-A31B91DB72BF}"/>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91" name="Text Box 12">
          <a:extLst>
            <a:ext uri="{FF2B5EF4-FFF2-40B4-BE49-F238E27FC236}">
              <a16:creationId xmlns="" xmlns:a16="http://schemas.microsoft.com/office/drawing/2014/main" id="{8169D31F-BE95-4D2C-B74C-CBD7AAFEB651}"/>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92" name="Text Box 10">
          <a:extLst>
            <a:ext uri="{FF2B5EF4-FFF2-40B4-BE49-F238E27FC236}">
              <a16:creationId xmlns="" xmlns:a16="http://schemas.microsoft.com/office/drawing/2014/main" id="{7AAE0F48-3033-4DA2-93F2-105D91E009DD}"/>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93" name="Text Box 11">
          <a:extLst>
            <a:ext uri="{FF2B5EF4-FFF2-40B4-BE49-F238E27FC236}">
              <a16:creationId xmlns="" xmlns:a16="http://schemas.microsoft.com/office/drawing/2014/main" id="{14B851A0-4A15-4B7E-AB19-0E064445F31C}"/>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94" name="Text Box 12">
          <a:extLst>
            <a:ext uri="{FF2B5EF4-FFF2-40B4-BE49-F238E27FC236}">
              <a16:creationId xmlns="" xmlns:a16="http://schemas.microsoft.com/office/drawing/2014/main" id="{CE46FBA9-E027-4E87-B64C-D8CCB86B483B}"/>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95" name="Text Box 10">
          <a:extLst>
            <a:ext uri="{FF2B5EF4-FFF2-40B4-BE49-F238E27FC236}">
              <a16:creationId xmlns="" xmlns:a16="http://schemas.microsoft.com/office/drawing/2014/main" id="{537609DD-801D-4273-9A8D-3979F53F1D3C}"/>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96" name="Text Box 11">
          <a:extLst>
            <a:ext uri="{FF2B5EF4-FFF2-40B4-BE49-F238E27FC236}">
              <a16:creationId xmlns="" xmlns:a16="http://schemas.microsoft.com/office/drawing/2014/main" id="{C64C0C6A-C789-4D6E-96A2-99129186CFAF}"/>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97" name="Text Box 12">
          <a:extLst>
            <a:ext uri="{FF2B5EF4-FFF2-40B4-BE49-F238E27FC236}">
              <a16:creationId xmlns="" xmlns:a16="http://schemas.microsoft.com/office/drawing/2014/main" id="{59DF361B-BC9C-4E0A-BEE3-CDA5F4E5999E}"/>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98" name="Text Box 10">
          <a:extLst>
            <a:ext uri="{FF2B5EF4-FFF2-40B4-BE49-F238E27FC236}">
              <a16:creationId xmlns="" xmlns:a16="http://schemas.microsoft.com/office/drawing/2014/main" id="{AC224ECB-DCB9-46C7-8BAD-333BB24A3DFB}"/>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99" name="Text Box 11">
          <a:extLst>
            <a:ext uri="{FF2B5EF4-FFF2-40B4-BE49-F238E27FC236}">
              <a16:creationId xmlns="" xmlns:a16="http://schemas.microsoft.com/office/drawing/2014/main" id="{A2023C37-E99B-457B-8E9B-8FBF13B4E8B3}"/>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100" name="Text Box 12">
          <a:extLst>
            <a:ext uri="{FF2B5EF4-FFF2-40B4-BE49-F238E27FC236}">
              <a16:creationId xmlns="" xmlns:a16="http://schemas.microsoft.com/office/drawing/2014/main" id="{67733DEE-12BD-4647-AA65-832CA211050F}"/>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101" name="Text Box 10">
          <a:extLst>
            <a:ext uri="{FF2B5EF4-FFF2-40B4-BE49-F238E27FC236}">
              <a16:creationId xmlns="" xmlns:a16="http://schemas.microsoft.com/office/drawing/2014/main" id="{2A924A81-BE05-4FD7-9133-CE37A27D6319}"/>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102" name="Text Box 11">
          <a:extLst>
            <a:ext uri="{FF2B5EF4-FFF2-40B4-BE49-F238E27FC236}">
              <a16:creationId xmlns="" xmlns:a16="http://schemas.microsoft.com/office/drawing/2014/main" id="{1EF9B7C2-34E5-4AAB-AA30-D861933BCD08}"/>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103" name="Text Box 12">
          <a:extLst>
            <a:ext uri="{FF2B5EF4-FFF2-40B4-BE49-F238E27FC236}">
              <a16:creationId xmlns="" xmlns:a16="http://schemas.microsoft.com/office/drawing/2014/main" id="{B0737B72-4348-416A-9655-9E981D1E7A68}"/>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104" name="Text Box 10">
          <a:extLst>
            <a:ext uri="{FF2B5EF4-FFF2-40B4-BE49-F238E27FC236}">
              <a16:creationId xmlns="" xmlns:a16="http://schemas.microsoft.com/office/drawing/2014/main" id="{01CA72F6-BB79-45DE-B99F-ECE2B0D4918A}"/>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105" name="Text Box 11">
          <a:extLst>
            <a:ext uri="{FF2B5EF4-FFF2-40B4-BE49-F238E27FC236}">
              <a16:creationId xmlns="" xmlns:a16="http://schemas.microsoft.com/office/drawing/2014/main" id="{AA1528EA-B7DF-40FF-BB42-FE8386B23BDE}"/>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106" name="Text Box 12">
          <a:extLst>
            <a:ext uri="{FF2B5EF4-FFF2-40B4-BE49-F238E27FC236}">
              <a16:creationId xmlns="" xmlns:a16="http://schemas.microsoft.com/office/drawing/2014/main" id="{BE01B256-6193-4D9C-999F-E28499BEBD17}"/>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107" name="Text Box 10">
          <a:extLst>
            <a:ext uri="{FF2B5EF4-FFF2-40B4-BE49-F238E27FC236}">
              <a16:creationId xmlns="" xmlns:a16="http://schemas.microsoft.com/office/drawing/2014/main" id="{20DB1B35-0500-4C4A-8B75-1A659368F951}"/>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108" name="Text Box 11">
          <a:extLst>
            <a:ext uri="{FF2B5EF4-FFF2-40B4-BE49-F238E27FC236}">
              <a16:creationId xmlns="" xmlns:a16="http://schemas.microsoft.com/office/drawing/2014/main" id="{887575DF-ABFE-4CBD-8048-A78D9201E765}"/>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109" name="Text Box 12">
          <a:extLst>
            <a:ext uri="{FF2B5EF4-FFF2-40B4-BE49-F238E27FC236}">
              <a16:creationId xmlns="" xmlns:a16="http://schemas.microsoft.com/office/drawing/2014/main" id="{112E9013-33AB-4D70-BF97-F2900616E511}"/>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110" name="Text Box 10">
          <a:extLst>
            <a:ext uri="{FF2B5EF4-FFF2-40B4-BE49-F238E27FC236}">
              <a16:creationId xmlns="" xmlns:a16="http://schemas.microsoft.com/office/drawing/2014/main" id="{AC245B35-8708-4781-A9A7-EBCA1BA87578}"/>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111" name="Text Box 11">
          <a:extLst>
            <a:ext uri="{FF2B5EF4-FFF2-40B4-BE49-F238E27FC236}">
              <a16:creationId xmlns="" xmlns:a16="http://schemas.microsoft.com/office/drawing/2014/main" id="{477A860F-60E7-473F-AEB0-A8E11E843325}"/>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112" name="Text Box 12">
          <a:extLst>
            <a:ext uri="{FF2B5EF4-FFF2-40B4-BE49-F238E27FC236}">
              <a16:creationId xmlns="" xmlns:a16="http://schemas.microsoft.com/office/drawing/2014/main" id="{0CCE93AC-3226-4C0F-A913-C8F0ABF652FB}"/>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113" name="Text Box 10">
          <a:extLst>
            <a:ext uri="{FF2B5EF4-FFF2-40B4-BE49-F238E27FC236}">
              <a16:creationId xmlns="" xmlns:a16="http://schemas.microsoft.com/office/drawing/2014/main" id="{7AF90CD1-A88D-4189-B2E4-A21D6DDBC38C}"/>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114" name="Text Box 11">
          <a:extLst>
            <a:ext uri="{FF2B5EF4-FFF2-40B4-BE49-F238E27FC236}">
              <a16:creationId xmlns="" xmlns:a16="http://schemas.microsoft.com/office/drawing/2014/main" id="{134905BD-5B60-496C-83C8-D7D96945EA57}"/>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115" name="Text Box 12">
          <a:extLst>
            <a:ext uri="{FF2B5EF4-FFF2-40B4-BE49-F238E27FC236}">
              <a16:creationId xmlns="" xmlns:a16="http://schemas.microsoft.com/office/drawing/2014/main" id="{62AE204C-C85E-42AB-8384-4418A6DB8514}"/>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116" name="Text Box 10">
          <a:extLst>
            <a:ext uri="{FF2B5EF4-FFF2-40B4-BE49-F238E27FC236}">
              <a16:creationId xmlns="" xmlns:a16="http://schemas.microsoft.com/office/drawing/2014/main" id="{25BE66BD-D270-403C-94C3-F689A45575BB}"/>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117" name="Text Box 11">
          <a:extLst>
            <a:ext uri="{FF2B5EF4-FFF2-40B4-BE49-F238E27FC236}">
              <a16:creationId xmlns="" xmlns:a16="http://schemas.microsoft.com/office/drawing/2014/main" id="{46C635FC-0D51-4378-A6ED-5A7D90DAB5DA}"/>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118" name="Text Box 12">
          <a:extLst>
            <a:ext uri="{FF2B5EF4-FFF2-40B4-BE49-F238E27FC236}">
              <a16:creationId xmlns="" xmlns:a16="http://schemas.microsoft.com/office/drawing/2014/main" id="{0084B87E-90E3-45E9-90D8-F1CDCA7AD2B9}"/>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119" name="Text Box 10">
          <a:extLst>
            <a:ext uri="{FF2B5EF4-FFF2-40B4-BE49-F238E27FC236}">
              <a16:creationId xmlns="" xmlns:a16="http://schemas.microsoft.com/office/drawing/2014/main" id="{67155CF1-7456-418A-AA76-EF78A9054D96}"/>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120" name="Text Box 11">
          <a:extLst>
            <a:ext uri="{FF2B5EF4-FFF2-40B4-BE49-F238E27FC236}">
              <a16:creationId xmlns="" xmlns:a16="http://schemas.microsoft.com/office/drawing/2014/main" id="{3C59BA9C-45CE-4469-B3C5-9AA6A6143579}"/>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121" name="Text Box 12">
          <a:extLst>
            <a:ext uri="{FF2B5EF4-FFF2-40B4-BE49-F238E27FC236}">
              <a16:creationId xmlns="" xmlns:a16="http://schemas.microsoft.com/office/drawing/2014/main" id="{8ED4BBC0-E865-4922-8B39-1477B2F12D88}"/>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122" name="Text Box 10">
          <a:extLst>
            <a:ext uri="{FF2B5EF4-FFF2-40B4-BE49-F238E27FC236}">
              <a16:creationId xmlns="" xmlns:a16="http://schemas.microsoft.com/office/drawing/2014/main" id="{E5F0B7C7-BD23-4B45-8275-3FFA1020D687}"/>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123" name="Text Box 11">
          <a:extLst>
            <a:ext uri="{FF2B5EF4-FFF2-40B4-BE49-F238E27FC236}">
              <a16:creationId xmlns="" xmlns:a16="http://schemas.microsoft.com/office/drawing/2014/main" id="{FCB1D704-8FF2-4148-90A1-5C364E2ABDD0}"/>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124" name="Text Box 12">
          <a:extLst>
            <a:ext uri="{FF2B5EF4-FFF2-40B4-BE49-F238E27FC236}">
              <a16:creationId xmlns="" xmlns:a16="http://schemas.microsoft.com/office/drawing/2014/main" id="{A640DEED-2A78-405E-BB25-07FC8BF2FCDF}"/>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125" name="Text Box 10">
          <a:extLst>
            <a:ext uri="{FF2B5EF4-FFF2-40B4-BE49-F238E27FC236}">
              <a16:creationId xmlns="" xmlns:a16="http://schemas.microsoft.com/office/drawing/2014/main" id="{611A9A40-D6D5-41BF-9A2B-0241910FFE5F}"/>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126" name="Text Box 11">
          <a:extLst>
            <a:ext uri="{FF2B5EF4-FFF2-40B4-BE49-F238E27FC236}">
              <a16:creationId xmlns="" xmlns:a16="http://schemas.microsoft.com/office/drawing/2014/main" id="{8FF2C852-F711-4996-A17D-56D1D8C3ECB9}"/>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127" name="Text Box 12">
          <a:extLst>
            <a:ext uri="{FF2B5EF4-FFF2-40B4-BE49-F238E27FC236}">
              <a16:creationId xmlns="" xmlns:a16="http://schemas.microsoft.com/office/drawing/2014/main" id="{B1E7D21C-FC83-434D-B0F2-B28C53382CBA}"/>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128" name="Text Box 10">
          <a:extLst>
            <a:ext uri="{FF2B5EF4-FFF2-40B4-BE49-F238E27FC236}">
              <a16:creationId xmlns="" xmlns:a16="http://schemas.microsoft.com/office/drawing/2014/main" id="{FD6F59F5-EAFD-42B5-85F8-9EA73415E19A}"/>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129" name="Text Box 11">
          <a:extLst>
            <a:ext uri="{FF2B5EF4-FFF2-40B4-BE49-F238E27FC236}">
              <a16:creationId xmlns="" xmlns:a16="http://schemas.microsoft.com/office/drawing/2014/main" id="{BE22E5BB-9268-4D91-9E56-D2F6968063F4}"/>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130" name="Text Box 12">
          <a:extLst>
            <a:ext uri="{FF2B5EF4-FFF2-40B4-BE49-F238E27FC236}">
              <a16:creationId xmlns="" xmlns:a16="http://schemas.microsoft.com/office/drawing/2014/main" id="{5D07641D-5DEE-46EA-A65E-D4C0A65D5A02}"/>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131" name="Text Box 10">
          <a:extLst>
            <a:ext uri="{FF2B5EF4-FFF2-40B4-BE49-F238E27FC236}">
              <a16:creationId xmlns="" xmlns:a16="http://schemas.microsoft.com/office/drawing/2014/main" id="{278AED3A-C1C8-49B9-905B-B71E2369DBE6}"/>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132" name="Text Box 11">
          <a:extLst>
            <a:ext uri="{FF2B5EF4-FFF2-40B4-BE49-F238E27FC236}">
              <a16:creationId xmlns="" xmlns:a16="http://schemas.microsoft.com/office/drawing/2014/main" id="{66B49CFD-E0E7-437A-809B-28B80275BB21}"/>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133" name="Text Box 12">
          <a:extLst>
            <a:ext uri="{FF2B5EF4-FFF2-40B4-BE49-F238E27FC236}">
              <a16:creationId xmlns="" xmlns:a16="http://schemas.microsoft.com/office/drawing/2014/main" id="{38DE826D-9EBC-4192-9EF6-85C37B959C21}"/>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134" name="Text Box 10">
          <a:extLst>
            <a:ext uri="{FF2B5EF4-FFF2-40B4-BE49-F238E27FC236}">
              <a16:creationId xmlns="" xmlns:a16="http://schemas.microsoft.com/office/drawing/2014/main" id="{E27B7B82-8CD6-4F7C-ADB7-51D518C19092}"/>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135" name="Text Box 11">
          <a:extLst>
            <a:ext uri="{FF2B5EF4-FFF2-40B4-BE49-F238E27FC236}">
              <a16:creationId xmlns="" xmlns:a16="http://schemas.microsoft.com/office/drawing/2014/main" id="{C884381D-243F-45BB-8537-1830EEC102F7}"/>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136" name="Text Box 12">
          <a:extLst>
            <a:ext uri="{FF2B5EF4-FFF2-40B4-BE49-F238E27FC236}">
              <a16:creationId xmlns="" xmlns:a16="http://schemas.microsoft.com/office/drawing/2014/main" id="{6E3489B8-54FD-47EB-B6CB-51139C411615}"/>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137" name="Text Box 10">
          <a:extLst>
            <a:ext uri="{FF2B5EF4-FFF2-40B4-BE49-F238E27FC236}">
              <a16:creationId xmlns="" xmlns:a16="http://schemas.microsoft.com/office/drawing/2014/main" id="{0B285882-E5E8-419F-A1DA-A4A7E4771D25}"/>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138" name="Text Box 11">
          <a:extLst>
            <a:ext uri="{FF2B5EF4-FFF2-40B4-BE49-F238E27FC236}">
              <a16:creationId xmlns="" xmlns:a16="http://schemas.microsoft.com/office/drawing/2014/main" id="{2C5B066F-F5D9-4A06-844D-5F8BAFAF1E6F}"/>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139" name="Text Box 12">
          <a:extLst>
            <a:ext uri="{FF2B5EF4-FFF2-40B4-BE49-F238E27FC236}">
              <a16:creationId xmlns="" xmlns:a16="http://schemas.microsoft.com/office/drawing/2014/main" id="{F682A09D-8D5D-4126-995E-CD6D4A6D46B6}"/>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140" name="Text Box 10">
          <a:extLst>
            <a:ext uri="{FF2B5EF4-FFF2-40B4-BE49-F238E27FC236}">
              <a16:creationId xmlns="" xmlns:a16="http://schemas.microsoft.com/office/drawing/2014/main" id="{0359BBE9-0807-4C3E-AC78-F4C4D7024EFD}"/>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141" name="Text Box 11">
          <a:extLst>
            <a:ext uri="{FF2B5EF4-FFF2-40B4-BE49-F238E27FC236}">
              <a16:creationId xmlns="" xmlns:a16="http://schemas.microsoft.com/office/drawing/2014/main" id="{4016E0AD-7E92-434D-ADC9-D18320646DF2}"/>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142" name="Text Box 12">
          <a:extLst>
            <a:ext uri="{FF2B5EF4-FFF2-40B4-BE49-F238E27FC236}">
              <a16:creationId xmlns="" xmlns:a16="http://schemas.microsoft.com/office/drawing/2014/main" id="{40854A43-FF2A-4B15-A12A-2A574C0FAFB0}"/>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143" name="Text Box 10">
          <a:extLst>
            <a:ext uri="{FF2B5EF4-FFF2-40B4-BE49-F238E27FC236}">
              <a16:creationId xmlns="" xmlns:a16="http://schemas.microsoft.com/office/drawing/2014/main" id="{A6BC261B-6F06-40D7-A70D-BD5345C61BB3}"/>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144" name="Text Box 11">
          <a:extLst>
            <a:ext uri="{FF2B5EF4-FFF2-40B4-BE49-F238E27FC236}">
              <a16:creationId xmlns="" xmlns:a16="http://schemas.microsoft.com/office/drawing/2014/main" id="{8AAF4255-C8A7-4D6A-888D-1E97FDF0D649}"/>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145" name="Text Box 12">
          <a:extLst>
            <a:ext uri="{FF2B5EF4-FFF2-40B4-BE49-F238E27FC236}">
              <a16:creationId xmlns="" xmlns:a16="http://schemas.microsoft.com/office/drawing/2014/main" id="{F8944039-FC00-4DD0-B3FF-F62470441441}"/>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146" name="Text Box 10">
          <a:extLst>
            <a:ext uri="{FF2B5EF4-FFF2-40B4-BE49-F238E27FC236}">
              <a16:creationId xmlns="" xmlns:a16="http://schemas.microsoft.com/office/drawing/2014/main" id="{2545D8BC-C8DF-4AD6-8C19-CB5A49EFD787}"/>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147" name="Text Box 11">
          <a:extLst>
            <a:ext uri="{FF2B5EF4-FFF2-40B4-BE49-F238E27FC236}">
              <a16:creationId xmlns="" xmlns:a16="http://schemas.microsoft.com/office/drawing/2014/main" id="{B1D85CE6-121D-4BD5-95AA-974005E5174D}"/>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148" name="Text Box 12">
          <a:extLst>
            <a:ext uri="{FF2B5EF4-FFF2-40B4-BE49-F238E27FC236}">
              <a16:creationId xmlns="" xmlns:a16="http://schemas.microsoft.com/office/drawing/2014/main" id="{2B4B0930-A9D6-43E1-B2AA-9CE19C660A56}"/>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149" name="Text Box 10">
          <a:extLst>
            <a:ext uri="{FF2B5EF4-FFF2-40B4-BE49-F238E27FC236}">
              <a16:creationId xmlns="" xmlns:a16="http://schemas.microsoft.com/office/drawing/2014/main" id="{7F5AD0C6-2F46-49EC-A625-4F2CF191334E}"/>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150" name="Text Box 11">
          <a:extLst>
            <a:ext uri="{FF2B5EF4-FFF2-40B4-BE49-F238E27FC236}">
              <a16:creationId xmlns="" xmlns:a16="http://schemas.microsoft.com/office/drawing/2014/main" id="{43C8F37C-BF72-4B7C-85AC-7936C099EF2A}"/>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30</xdr:row>
      <xdr:rowOff>305701</xdr:rowOff>
    </xdr:to>
    <xdr:sp macro="" textlink="">
      <xdr:nvSpPr>
        <xdr:cNvPr id="151" name="Text Box 12">
          <a:extLst>
            <a:ext uri="{FF2B5EF4-FFF2-40B4-BE49-F238E27FC236}">
              <a16:creationId xmlns="" xmlns:a16="http://schemas.microsoft.com/office/drawing/2014/main" id="{92802D18-1D3C-4925-B605-D4BA2FB6923D}"/>
            </a:ext>
          </a:extLst>
        </xdr:cNvPr>
        <xdr:cNvSpPr txBox="1">
          <a:spLocks noChangeArrowheads="1"/>
        </xdr:cNvSpPr>
      </xdr:nvSpPr>
      <xdr:spPr bwMode="auto">
        <a:xfrm>
          <a:off x="431482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152" name="Text Box 10">
          <a:extLst>
            <a:ext uri="{FF2B5EF4-FFF2-40B4-BE49-F238E27FC236}">
              <a16:creationId xmlns="" xmlns:a16="http://schemas.microsoft.com/office/drawing/2014/main" id="{5316B118-EED8-415B-8473-FD2EAB8A68E9}"/>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153" name="Text Box 11">
          <a:extLst>
            <a:ext uri="{FF2B5EF4-FFF2-40B4-BE49-F238E27FC236}">
              <a16:creationId xmlns="" xmlns:a16="http://schemas.microsoft.com/office/drawing/2014/main" id="{4641C9C1-126B-4BB1-A991-EC68C7A346C2}"/>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154" name="Text Box 12">
          <a:extLst>
            <a:ext uri="{FF2B5EF4-FFF2-40B4-BE49-F238E27FC236}">
              <a16:creationId xmlns="" xmlns:a16="http://schemas.microsoft.com/office/drawing/2014/main" id="{FEEF90D8-F20F-4FB8-874F-B806AABB66EC}"/>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85725</xdr:colOff>
      <xdr:row>29</xdr:row>
      <xdr:rowOff>60074</xdr:rowOff>
    </xdr:to>
    <xdr:sp macro="" textlink="">
      <xdr:nvSpPr>
        <xdr:cNvPr id="155" name="Text Box 10">
          <a:extLst>
            <a:ext uri="{FF2B5EF4-FFF2-40B4-BE49-F238E27FC236}">
              <a16:creationId xmlns="" xmlns:a16="http://schemas.microsoft.com/office/drawing/2014/main" id="{28280AFE-2C82-41AB-8A32-670DBDED8DA0}"/>
            </a:ext>
          </a:extLst>
        </xdr:cNvPr>
        <xdr:cNvSpPr txBox="1">
          <a:spLocks noChangeArrowheads="1"/>
        </xdr:cNvSpPr>
      </xdr:nvSpPr>
      <xdr:spPr bwMode="auto">
        <a:xfrm>
          <a:off x="4314825" y="13325475"/>
          <a:ext cx="76200" cy="2346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85725</xdr:colOff>
      <xdr:row>29</xdr:row>
      <xdr:rowOff>60074</xdr:rowOff>
    </xdr:to>
    <xdr:sp macro="" textlink="">
      <xdr:nvSpPr>
        <xdr:cNvPr id="156" name="Text Box 11">
          <a:extLst>
            <a:ext uri="{FF2B5EF4-FFF2-40B4-BE49-F238E27FC236}">
              <a16:creationId xmlns="" xmlns:a16="http://schemas.microsoft.com/office/drawing/2014/main" id="{39E4C73E-90C3-4A1B-BAEC-F373647D31D4}"/>
            </a:ext>
          </a:extLst>
        </xdr:cNvPr>
        <xdr:cNvSpPr txBox="1">
          <a:spLocks noChangeArrowheads="1"/>
        </xdr:cNvSpPr>
      </xdr:nvSpPr>
      <xdr:spPr bwMode="auto">
        <a:xfrm>
          <a:off x="4314825" y="13325475"/>
          <a:ext cx="76200" cy="2346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85725</xdr:colOff>
      <xdr:row>29</xdr:row>
      <xdr:rowOff>60074</xdr:rowOff>
    </xdr:to>
    <xdr:sp macro="" textlink="">
      <xdr:nvSpPr>
        <xdr:cNvPr id="157" name="Text Box 12">
          <a:extLst>
            <a:ext uri="{FF2B5EF4-FFF2-40B4-BE49-F238E27FC236}">
              <a16:creationId xmlns="" xmlns:a16="http://schemas.microsoft.com/office/drawing/2014/main" id="{F84A3C05-B996-4325-8CF9-77146DF3665B}"/>
            </a:ext>
          </a:extLst>
        </xdr:cNvPr>
        <xdr:cNvSpPr txBox="1">
          <a:spLocks noChangeArrowheads="1"/>
        </xdr:cNvSpPr>
      </xdr:nvSpPr>
      <xdr:spPr bwMode="auto">
        <a:xfrm>
          <a:off x="4314825" y="13325475"/>
          <a:ext cx="76200" cy="2346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158" name="Text Box 10">
          <a:extLst>
            <a:ext uri="{FF2B5EF4-FFF2-40B4-BE49-F238E27FC236}">
              <a16:creationId xmlns="" xmlns:a16="http://schemas.microsoft.com/office/drawing/2014/main" id="{4F492E8A-2719-451E-9929-9F54F59B1CCA}"/>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159" name="Text Box 11">
          <a:extLst>
            <a:ext uri="{FF2B5EF4-FFF2-40B4-BE49-F238E27FC236}">
              <a16:creationId xmlns="" xmlns:a16="http://schemas.microsoft.com/office/drawing/2014/main" id="{B07E424D-5CF3-4DE2-80A5-A7F9378D5AC5}"/>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160" name="Text Box 12">
          <a:extLst>
            <a:ext uri="{FF2B5EF4-FFF2-40B4-BE49-F238E27FC236}">
              <a16:creationId xmlns="" xmlns:a16="http://schemas.microsoft.com/office/drawing/2014/main" id="{1A50FFDC-7BF8-4F3C-B1AD-AA172C1CD941}"/>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85725</xdr:colOff>
      <xdr:row>29</xdr:row>
      <xdr:rowOff>60074</xdr:rowOff>
    </xdr:to>
    <xdr:sp macro="" textlink="">
      <xdr:nvSpPr>
        <xdr:cNvPr id="161" name="Text Box 10">
          <a:extLst>
            <a:ext uri="{FF2B5EF4-FFF2-40B4-BE49-F238E27FC236}">
              <a16:creationId xmlns="" xmlns:a16="http://schemas.microsoft.com/office/drawing/2014/main" id="{F445767E-6F7F-4E79-9A23-285E48DBC774}"/>
            </a:ext>
          </a:extLst>
        </xdr:cNvPr>
        <xdr:cNvSpPr txBox="1">
          <a:spLocks noChangeArrowheads="1"/>
        </xdr:cNvSpPr>
      </xdr:nvSpPr>
      <xdr:spPr bwMode="auto">
        <a:xfrm>
          <a:off x="4314825" y="13325475"/>
          <a:ext cx="76200" cy="2346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85725</xdr:colOff>
      <xdr:row>29</xdr:row>
      <xdr:rowOff>60074</xdr:rowOff>
    </xdr:to>
    <xdr:sp macro="" textlink="">
      <xdr:nvSpPr>
        <xdr:cNvPr id="162" name="Text Box 11">
          <a:extLst>
            <a:ext uri="{FF2B5EF4-FFF2-40B4-BE49-F238E27FC236}">
              <a16:creationId xmlns="" xmlns:a16="http://schemas.microsoft.com/office/drawing/2014/main" id="{FBF136A1-DB8D-4C16-8340-8B85ECECED2A}"/>
            </a:ext>
          </a:extLst>
        </xdr:cNvPr>
        <xdr:cNvSpPr txBox="1">
          <a:spLocks noChangeArrowheads="1"/>
        </xdr:cNvSpPr>
      </xdr:nvSpPr>
      <xdr:spPr bwMode="auto">
        <a:xfrm>
          <a:off x="4314825" y="13325475"/>
          <a:ext cx="76200" cy="2346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85725</xdr:colOff>
      <xdr:row>29</xdr:row>
      <xdr:rowOff>60074</xdr:rowOff>
    </xdr:to>
    <xdr:sp macro="" textlink="">
      <xdr:nvSpPr>
        <xdr:cNvPr id="163" name="Text Box 12">
          <a:extLst>
            <a:ext uri="{FF2B5EF4-FFF2-40B4-BE49-F238E27FC236}">
              <a16:creationId xmlns="" xmlns:a16="http://schemas.microsoft.com/office/drawing/2014/main" id="{59E002B8-D4E3-4FF8-A38F-2AB71A9ADA3B}"/>
            </a:ext>
          </a:extLst>
        </xdr:cNvPr>
        <xdr:cNvSpPr txBox="1">
          <a:spLocks noChangeArrowheads="1"/>
        </xdr:cNvSpPr>
      </xdr:nvSpPr>
      <xdr:spPr bwMode="auto">
        <a:xfrm>
          <a:off x="4314825" y="13325475"/>
          <a:ext cx="76200" cy="2346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164" name="Text Box 10">
          <a:extLst>
            <a:ext uri="{FF2B5EF4-FFF2-40B4-BE49-F238E27FC236}">
              <a16:creationId xmlns="" xmlns:a16="http://schemas.microsoft.com/office/drawing/2014/main" id="{9DA9766F-1F8B-450C-9037-613666751B8A}"/>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165" name="Text Box 11">
          <a:extLst>
            <a:ext uri="{FF2B5EF4-FFF2-40B4-BE49-F238E27FC236}">
              <a16:creationId xmlns="" xmlns:a16="http://schemas.microsoft.com/office/drawing/2014/main" id="{392E0C10-C852-411B-8906-F9C6A423903B}"/>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166" name="Text Box 12">
          <a:extLst>
            <a:ext uri="{FF2B5EF4-FFF2-40B4-BE49-F238E27FC236}">
              <a16:creationId xmlns="" xmlns:a16="http://schemas.microsoft.com/office/drawing/2014/main" id="{D01B3826-3443-4D3D-844A-C8AC4F6AB6FE}"/>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167" name="Text Box 10">
          <a:extLst>
            <a:ext uri="{FF2B5EF4-FFF2-40B4-BE49-F238E27FC236}">
              <a16:creationId xmlns="" xmlns:a16="http://schemas.microsoft.com/office/drawing/2014/main" id="{00E3568A-ED35-489F-BF36-F7CF0263CB28}"/>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168" name="Text Box 11">
          <a:extLst>
            <a:ext uri="{FF2B5EF4-FFF2-40B4-BE49-F238E27FC236}">
              <a16:creationId xmlns="" xmlns:a16="http://schemas.microsoft.com/office/drawing/2014/main" id="{EDD9DCA0-37A1-45DD-BDE9-756C661B5BA5}"/>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169" name="Text Box 12">
          <a:extLst>
            <a:ext uri="{FF2B5EF4-FFF2-40B4-BE49-F238E27FC236}">
              <a16:creationId xmlns="" xmlns:a16="http://schemas.microsoft.com/office/drawing/2014/main" id="{4181E047-99BC-436D-AF8A-42B7D95411EC}"/>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170" name="Text Box 10">
          <a:extLst>
            <a:ext uri="{FF2B5EF4-FFF2-40B4-BE49-F238E27FC236}">
              <a16:creationId xmlns="" xmlns:a16="http://schemas.microsoft.com/office/drawing/2014/main" id="{71F5E02B-1666-4A92-A35F-ABCCF20AD38B}"/>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171" name="Text Box 11">
          <a:extLst>
            <a:ext uri="{FF2B5EF4-FFF2-40B4-BE49-F238E27FC236}">
              <a16:creationId xmlns="" xmlns:a16="http://schemas.microsoft.com/office/drawing/2014/main" id="{02114277-2FBB-4528-A88B-86921037C163}"/>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172" name="Text Box 12">
          <a:extLst>
            <a:ext uri="{FF2B5EF4-FFF2-40B4-BE49-F238E27FC236}">
              <a16:creationId xmlns="" xmlns:a16="http://schemas.microsoft.com/office/drawing/2014/main" id="{136A7185-0FAD-4113-BB8E-9FA12D36330D}"/>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173" name="Text Box 10">
          <a:extLst>
            <a:ext uri="{FF2B5EF4-FFF2-40B4-BE49-F238E27FC236}">
              <a16:creationId xmlns="" xmlns:a16="http://schemas.microsoft.com/office/drawing/2014/main" id="{20EA87AD-BFF5-4F9A-BF02-ED1745DF2B41}"/>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174" name="Text Box 11">
          <a:extLst>
            <a:ext uri="{FF2B5EF4-FFF2-40B4-BE49-F238E27FC236}">
              <a16:creationId xmlns="" xmlns:a16="http://schemas.microsoft.com/office/drawing/2014/main" id="{93256BE0-B8C3-4C6D-9211-A17714B915FD}"/>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175" name="Text Box 12">
          <a:extLst>
            <a:ext uri="{FF2B5EF4-FFF2-40B4-BE49-F238E27FC236}">
              <a16:creationId xmlns="" xmlns:a16="http://schemas.microsoft.com/office/drawing/2014/main" id="{04BBE560-3C03-4DA5-97E0-7483A3ED64D7}"/>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176" name="Text Box 10">
          <a:extLst>
            <a:ext uri="{FF2B5EF4-FFF2-40B4-BE49-F238E27FC236}">
              <a16:creationId xmlns="" xmlns:a16="http://schemas.microsoft.com/office/drawing/2014/main" id="{B5B8DFA0-4D28-4A04-82B3-C241CCD6D375}"/>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177" name="Text Box 11">
          <a:extLst>
            <a:ext uri="{FF2B5EF4-FFF2-40B4-BE49-F238E27FC236}">
              <a16:creationId xmlns="" xmlns:a16="http://schemas.microsoft.com/office/drawing/2014/main" id="{634AF8F8-A39E-44BF-B27E-294A35EA3E1C}"/>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178" name="Text Box 12">
          <a:extLst>
            <a:ext uri="{FF2B5EF4-FFF2-40B4-BE49-F238E27FC236}">
              <a16:creationId xmlns="" xmlns:a16="http://schemas.microsoft.com/office/drawing/2014/main" id="{27428889-3EBC-4C9D-869C-511C746198E2}"/>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85725</xdr:colOff>
      <xdr:row>29</xdr:row>
      <xdr:rowOff>60074</xdr:rowOff>
    </xdr:to>
    <xdr:sp macro="" textlink="">
      <xdr:nvSpPr>
        <xdr:cNvPr id="179" name="Text Box 10">
          <a:extLst>
            <a:ext uri="{FF2B5EF4-FFF2-40B4-BE49-F238E27FC236}">
              <a16:creationId xmlns="" xmlns:a16="http://schemas.microsoft.com/office/drawing/2014/main" id="{DCB66220-2B54-49DD-B57B-A028324BABE1}"/>
            </a:ext>
          </a:extLst>
        </xdr:cNvPr>
        <xdr:cNvSpPr txBox="1">
          <a:spLocks noChangeArrowheads="1"/>
        </xdr:cNvSpPr>
      </xdr:nvSpPr>
      <xdr:spPr bwMode="auto">
        <a:xfrm>
          <a:off x="4314825" y="13325475"/>
          <a:ext cx="76200" cy="2346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85725</xdr:colOff>
      <xdr:row>29</xdr:row>
      <xdr:rowOff>60074</xdr:rowOff>
    </xdr:to>
    <xdr:sp macro="" textlink="">
      <xdr:nvSpPr>
        <xdr:cNvPr id="180" name="Text Box 11">
          <a:extLst>
            <a:ext uri="{FF2B5EF4-FFF2-40B4-BE49-F238E27FC236}">
              <a16:creationId xmlns="" xmlns:a16="http://schemas.microsoft.com/office/drawing/2014/main" id="{E70585D2-CAD4-4111-9D3D-4942A73EA651}"/>
            </a:ext>
          </a:extLst>
        </xdr:cNvPr>
        <xdr:cNvSpPr txBox="1">
          <a:spLocks noChangeArrowheads="1"/>
        </xdr:cNvSpPr>
      </xdr:nvSpPr>
      <xdr:spPr bwMode="auto">
        <a:xfrm>
          <a:off x="4314825" y="13325475"/>
          <a:ext cx="76200" cy="2346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85725</xdr:colOff>
      <xdr:row>29</xdr:row>
      <xdr:rowOff>60074</xdr:rowOff>
    </xdr:to>
    <xdr:sp macro="" textlink="">
      <xdr:nvSpPr>
        <xdr:cNvPr id="181" name="Text Box 12">
          <a:extLst>
            <a:ext uri="{FF2B5EF4-FFF2-40B4-BE49-F238E27FC236}">
              <a16:creationId xmlns="" xmlns:a16="http://schemas.microsoft.com/office/drawing/2014/main" id="{25C3CAEC-1803-472A-9BDC-CCA7EA18FCEB}"/>
            </a:ext>
          </a:extLst>
        </xdr:cNvPr>
        <xdr:cNvSpPr txBox="1">
          <a:spLocks noChangeArrowheads="1"/>
        </xdr:cNvSpPr>
      </xdr:nvSpPr>
      <xdr:spPr bwMode="auto">
        <a:xfrm>
          <a:off x="4314825" y="13325475"/>
          <a:ext cx="76200" cy="2346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182" name="Text Box 10">
          <a:extLst>
            <a:ext uri="{FF2B5EF4-FFF2-40B4-BE49-F238E27FC236}">
              <a16:creationId xmlns="" xmlns:a16="http://schemas.microsoft.com/office/drawing/2014/main" id="{38215C34-0A3D-4A76-8D0B-19F03F6126B4}"/>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183" name="Text Box 11">
          <a:extLst>
            <a:ext uri="{FF2B5EF4-FFF2-40B4-BE49-F238E27FC236}">
              <a16:creationId xmlns="" xmlns:a16="http://schemas.microsoft.com/office/drawing/2014/main" id="{F39ED70A-0B8C-497A-9D2D-2BFFD3D57753}"/>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184" name="Text Box 12">
          <a:extLst>
            <a:ext uri="{FF2B5EF4-FFF2-40B4-BE49-F238E27FC236}">
              <a16:creationId xmlns="" xmlns:a16="http://schemas.microsoft.com/office/drawing/2014/main" id="{4C7F2C07-0282-471A-91F1-2C7427273AF5}"/>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85725</xdr:colOff>
      <xdr:row>29</xdr:row>
      <xdr:rowOff>60074</xdr:rowOff>
    </xdr:to>
    <xdr:sp macro="" textlink="">
      <xdr:nvSpPr>
        <xdr:cNvPr id="185" name="Text Box 10">
          <a:extLst>
            <a:ext uri="{FF2B5EF4-FFF2-40B4-BE49-F238E27FC236}">
              <a16:creationId xmlns="" xmlns:a16="http://schemas.microsoft.com/office/drawing/2014/main" id="{9E8514A4-9FBB-49D3-B630-B703B3BDE673}"/>
            </a:ext>
          </a:extLst>
        </xdr:cNvPr>
        <xdr:cNvSpPr txBox="1">
          <a:spLocks noChangeArrowheads="1"/>
        </xdr:cNvSpPr>
      </xdr:nvSpPr>
      <xdr:spPr bwMode="auto">
        <a:xfrm>
          <a:off x="4314825" y="13325475"/>
          <a:ext cx="76200" cy="2346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85725</xdr:colOff>
      <xdr:row>29</xdr:row>
      <xdr:rowOff>60074</xdr:rowOff>
    </xdr:to>
    <xdr:sp macro="" textlink="">
      <xdr:nvSpPr>
        <xdr:cNvPr id="186" name="Text Box 11">
          <a:extLst>
            <a:ext uri="{FF2B5EF4-FFF2-40B4-BE49-F238E27FC236}">
              <a16:creationId xmlns="" xmlns:a16="http://schemas.microsoft.com/office/drawing/2014/main" id="{982344C4-9C5F-4494-A798-9FC1D31FA6D7}"/>
            </a:ext>
          </a:extLst>
        </xdr:cNvPr>
        <xdr:cNvSpPr txBox="1">
          <a:spLocks noChangeArrowheads="1"/>
        </xdr:cNvSpPr>
      </xdr:nvSpPr>
      <xdr:spPr bwMode="auto">
        <a:xfrm>
          <a:off x="4314825" y="13325475"/>
          <a:ext cx="76200" cy="2346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85725</xdr:colOff>
      <xdr:row>29</xdr:row>
      <xdr:rowOff>60074</xdr:rowOff>
    </xdr:to>
    <xdr:sp macro="" textlink="">
      <xdr:nvSpPr>
        <xdr:cNvPr id="187" name="Text Box 12">
          <a:extLst>
            <a:ext uri="{FF2B5EF4-FFF2-40B4-BE49-F238E27FC236}">
              <a16:creationId xmlns="" xmlns:a16="http://schemas.microsoft.com/office/drawing/2014/main" id="{AE75C1DA-5576-4CB9-8E1D-0B825690CDF0}"/>
            </a:ext>
          </a:extLst>
        </xdr:cNvPr>
        <xdr:cNvSpPr txBox="1">
          <a:spLocks noChangeArrowheads="1"/>
        </xdr:cNvSpPr>
      </xdr:nvSpPr>
      <xdr:spPr bwMode="auto">
        <a:xfrm>
          <a:off x="4314825" y="13325475"/>
          <a:ext cx="76200" cy="2346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188" name="Text Box 10">
          <a:extLst>
            <a:ext uri="{FF2B5EF4-FFF2-40B4-BE49-F238E27FC236}">
              <a16:creationId xmlns="" xmlns:a16="http://schemas.microsoft.com/office/drawing/2014/main" id="{2F71EFA1-D5C2-4E5D-A085-0B8D1DA55019}"/>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189" name="Text Box 11">
          <a:extLst>
            <a:ext uri="{FF2B5EF4-FFF2-40B4-BE49-F238E27FC236}">
              <a16:creationId xmlns="" xmlns:a16="http://schemas.microsoft.com/office/drawing/2014/main" id="{F8931B7B-E8F0-4DBC-9D6E-C470FFC7E444}"/>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190" name="Text Box 12">
          <a:extLst>
            <a:ext uri="{FF2B5EF4-FFF2-40B4-BE49-F238E27FC236}">
              <a16:creationId xmlns="" xmlns:a16="http://schemas.microsoft.com/office/drawing/2014/main" id="{5C4C4EA2-6030-4655-A77B-9E4F1238B2B5}"/>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191" name="Text Box 10">
          <a:extLst>
            <a:ext uri="{FF2B5EF4-FFF2-40B4-BE49-F238E27FC236}">
              <a16:creationId xmlns="" xmlns:a16="http://schemas.microsoft.com/office/drawing/2014/main" id="{FA8D3CB8-771E-4D04-B103-B44ED5575B9B}"/>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192" name="Text Box 11">
          <a:extLst>
            <a:ext uri="{FF2B5EF4-FFF2-40B4-BE49-F238E27FC236}">
              <a16:creationId xmlns="" xmlns:a16="http://schemas.microsoft.com/office/drawing/2014/main" id="{CCD65870-1D9E-4BD9-AD02-A00E40934C54}"/>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193" name="Text Box 12">
          <a:extLst>
            <a:ext uri="{FF2B5EF4-FFF2-40B4-BE49-F238E27FC236}">
              <a16:creationId xmlns="" xmlns:a16="http://schemas.microsoft.com/office/drawing/2014/main" id="{B6BD4B40-7B6C-4DEC-935A-4F230D90361F}"/>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194" name="Text Box 10">
          <a:extLst>
            <a:ext uri="{FF2B5EF4-FFF2-40B4-BE49-F238E27FC236}">
              <a16:creationId xmlns="" xmlns:a16="http://schemas.microsoft.com/office/drawing/2014/main" id="{F21E0C57-F1E8-433C-A7BC-05469D4C150D}"/>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195" name="Text Box 11">
          <a:extLst>
            <a:ext uri="{FF2B5EF4-FFF2-40B4-BE49-F238E27FC236}">
              <a16:creationId xmlns="" xmlns:a16="http://schemas.microsoft.com/office/drawing/2014/main" id="{4C5BE14B-4377-4F8F-8237-F8AE87610434}"/>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196" name="Text Box 12">
          <a:extLst>
            <a:ext uri="{FF2B5EF4-FFF2-40B4-BE49-F238E27FC236}">
              <a16:creationId xmlns="" xmlns:a16="http://schemas.microsoft.com/office/drawing/2014/main" id="{FD26EA46-8D65-4E55-8451-B3F57765AE1E}"/>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197" name="Text Box 10">
          <a:extLst>
            <a:ext uri="{FF2B5EF4-FFF2-40B4-BE49-F238E27FC236}">
              <a16:creationId xmlns="" xmlns:a16="http://schemas.microsoft.com/office/drawing/2014/main" id="{40E7781E-C779-4E18-9191-8180B280F621}"/>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198" name="Text Box 11">
          <a:extLst>
            <a:ext uri="{FF2B5EF4-FFF2-40B4-BE49-F238E27FC236}">
              <a16:creationId xmlns="" xmlns:a16="http://schemas.microsoft.com/office/drawing/2014/main" id="{3FA38658-0E0F-4981-BB78-4116CC19B98C}"/>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199" name="Text Box 12">
          <a:extLst>
            <a:ext uri="{FF2B5EF4-FFF2-40B4-BE49-F238E27FC236}">
              <a16:creationId xmlns="" xmlns:a16="http://schemas.microsoft.com/office/drawing/2014/main" id="{0DD3FF58-0BD4-45DD-A8A0-358E6CA751BA}"/>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200" name="Text Box 10">
          <a:extLst>
            <a:ext uri="{FF2B5EF4-FFF2-40B4-BE49-F238E27FC236}">
              <a16:creationId xmlns="" xmlns:a16="http://schemas.microsoft.com/office/drawing/2014/main" id="{9E4DF5B3-3D7E-4534-A97B-9350E7CB2F19}"/>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201" name="Text Box 11">
          <a:extLst>
            <a:ext uri="{FF2B5EF4-FFF2-40B4-BE49-F238E27FC236}">
              <a16:creationId xmlns="" xmlns:a16="http://schemas.microsoft.com/office/drawing/2014/main" id="{F33DA30A-28B6-4D33-9989-C2760D58ECEA}"/>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202" name="Text Box 12">
          <a:extLst>
            <a:ext uri="{FF2B5EF4-FFF2-40B4-BE49-F238E27FC236}">
              <a16:creationId xmlns="" xmlns:a16="http://schemas.microsoft.com/office/drawing/2014/main" id="{4C9AF99A-F871-4845-8CF2-BFEF889FFF70}"/>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203" name="Text Box 10">
          <a:extLst>
            <a:ext uri="{FF2B5EF4-FFF2-40B4-BE49-F238E27FC236}">
              <a16:creationId xmlns="" xmlns:a16="http://schemas.microsoft.com/office/drawing/2014/main" id="{0725ACEF-765B-42EA-B51D-092B04F3993B}"/>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204" name="Text Box 11">
          <a:extLst>
            <a:ext uri="{FF2B5EF4-FFF2-40B4-BE49-F238E27FC236}">
              <a16:creationId xmlns="" xmlns:a16="http://schemas.microsoft.com/office/drawing/2014/main" id="{1A7AFF37-7A9B-4377-94FA-46C4BDB54436}"/>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205" name="Text Box 12">
          <a:extLst>
            <a:ext uri="{FF2B5EF4-FFF2-40B4-BE49-F238E27FC236}">
              <a16:creationId xmlns="" xmlns:a16="http://schemas.microsoft.com/office/drawing/2014/main" id="{341B4123-ACE9-49D9-9E68-982292A3B957}"/>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206" name="Text Box 10">
          <a:extLst>
            <a:ext uri="{FF2B5EF4-FFF2-40B4-BE49-F238E27FC236}">
              <a16:creationId xmlns="" xmlns:a16="http://schemas.microsoft.com/office/drawing/2014/main" id="{3CBA7464-F0EA-4A5F-AF11-4F256F397F3F}"/>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207" name="Text Box 11">
          <a:extLst>
            <a:ext uri="{FF2B5EF4-FFF2-40B4-BE49-F238E27FC236}">
              <a16:creationId xmlns="" xmlns:a16="http://schemas.microsoft.com/office/drawing/2014/main" id="{10AD3F2D-3350-4C2B-B3EC-0DCC3F185F8A}"/>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208" name="Text Box 12">
          <a:extLst>
            <a:ext uri="{FF2B5EF4-FFF2-40B4-BE49-F238E27FC236}">
              <a16:creationId xmlns="" xmlns:a16="http://schemas.microsoft.com/office/drawing/2014/main" id="{89E15C33-C001-456D-ADD3-D70C3AD46C0A}"/>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209" name="Text Box 10">
          <a:extLst>
            <a:ext uri="{FF2B5EF4-FFF2-40B4-BE49-F238E27FC236}">
              <a16:creationId xmlns="" xmlns:a16="http://schemas.microsoft.com/office/drawing/2014/main" id="{B4D74CDB-4B5B-43E7-B4BF-0725771DD414}"/>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210" name="Text Box 11">
          <a:extLst>
            <a:ext uri="{FF2B5EF4-FFF2-40B4-BE49-F238E27FC236}">
              <a16:creationId xmlns="" xmlns:a16="http://schemas.microsoft.com/office/drawing/2014/main" id="{6AF2872D-5268-4CA0-BBDD-FB646A4E46EA}"/>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211" name="Text Box 12">
          <a:extLst>
            <a:ext uri="{FF2B5EF4-FFF2-40B4-BE49-F238E27FC236}">
              <a16:creationId xmlns="" xmlns:a16="http://schemas.microsoft.com/office/drawing/2014/main" id="{E7FBFA77-F3E9-44F9-B903-8A21AC9F840D}"/>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212" name="Text Box 10">
          <a:extLst>
            <a:ext uri="{FF2B5EF4-FFF2-40B4-BE49-F238E27FC236}">
              <a16:creationId xmlns="" xmlns:a16="http://schemas.microsoft.com/office/drawing/2014/main" id="{45B8C6F8-3D1C-484F-8394-1C92B1C00AB6}"/>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213" name="Text Box 11">
          <a:extLst>
            <a:ext uri="{FF2B5EF4-FFF2-40B4-BE49-F238E27FC236}">
              <a16:creationId xmlns="" xmlns:a16="http://schemas.microsoft.com/office/drawing/2014/main" id="{D3E180C2-D6E8-49CC-87D1-891B9AC52233}"/>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214" name="Text Box 12">
          <a:extLst>
            <a:ext uri="{FF2B5EF4-FFF2-40B4-BE49-F238E27FC236}">
              <a16:creationId xmlns="" xmlns:a16="http://schemas.microsoft.com/office/drawing/2014/main" id="{5A853909-7379-4AA0-880B-5C0341C1DA5C}"/>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215" name="Text Box 10">
          <a:extLst>
            <a:ext uri="{FF2B5EF4-FFF2-40B4-BE49-F238E27FC236}">
              <a16:creationId xmlns="" xmlns:a16="http://schemas.microsoft.com/office/drawing/2014/main" id="{BBDA4C75-862D-42DB-90D3-0234E9CE9D20}"/>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216" name="Text Box 11">
          <a:extLst>
            <a:ext uri="{FF2B5EF4-FFF2-40B4-BE49-F238E27FC236}">
              <a16:creationId xmlns="" xmlns:a16="http://schemas.microsoft.com/office/drawing/2014/main" id="{3F89AD0D-7487-4C83-A1B4-AF7ECE7C6F3F}"/>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217" name="Text Box 12">
          <a:extLst>
            <a:ext uri="{FF2B5EF4-FFF2-40B4-BE49-F238E27FC236}">
              <a16:creationId xmlns="" xmlns:a16="http://schemas.microsoft.com/office/drawing/2014/main" id="{A45565DE-E51B-497C-A295-555AEAEA4653}"/>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218" name="Text Box 10">
          <a:extLst>
            <a:ext uri="{FF2B5EF4-FFF2-40B4-BE49-F238E27FC236}">
              <a16:creationId xmlns="" xmlns:a16="http://schemas.microsoft.com/office/drawing/2014/main" id="{267ACBD6-E3AD-4B1D-B1C0-8382F7B451B9}"/>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219" name="Text Box 11">
          <a:extLst>
            <a:ext uri="{FF2B5EF4-FFF2-40B4-BE49-F238E27FC236}">
              <a16:creationId xmlns="" xmlns:a16="http://schemas.microsoft.com/office/drawing/2014/main" id="{497A51BD-B848-4BEB-8710-413365257D70}"/>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220" name="Text Box 12">
          <a:extLst>
            <a:ext uri="{FF2B5EF4-FFF2-40B4-BE49-F238E27FC236}">
              <a16:creationId xmlns="" xmlns:a16="http://schemas.microsoft.com/office/drawing/2014/main" id="{DD0397C6-6CC2-4A5F-AB1C-EDB7EE35C871}"/>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85725</xdr:colOff>
      <xdr:row>29</xdr:row>
      <xdr:rowOff>60074</xdr:rowOff>
    </xdr:to>
    <xdr:sp macro="" textlink="">
      <xdr:nvSpPr>
        <xdr:cNvPr id="221" name="Text Box 10">
          <a:extLst>
            <a:ext uri="{FF2B5EF4-FFF2-40B4-BE49-F238E27FC236}">
              <a16:creationId xmlns="" xmlns:a16="http://schemas.microsoft.com/office/drawing/2014/main" id="{37CDF60F-2F00-4447-BF43-859CCFCD2039}"/>
            </a:ext>
          </a:extLst>
        </xdr:cNvPr>
        <xdr:cNvSpPr txBox="1">
          <a:spLocks noChangeArrowheads="1"/>
        </xdr:cNvSpPr>
      </xdr:nvSpPr>
      <xdr:spPr bwMode="auto">
        <a:xfrm>
          <a:off x="4314825" y="13325475"/>
          <a:ext cx="76200" cy="2346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85725</xdr:colOff>
      <xdr:row>29</xdr:row>
      <xdr:rowOff>60074</xdr:rowOff>
    </xdr:to>
    <xdr:sp macro="" textlink="">
      <xdr:nvSpPr>
        <xdr:cNvPr id="222" name="Text Box 11">
          <a:extLst>
            <a:ext uri="{FF2B5EF4-FFF2-40B4-BE49-F238E27FC236}">
              <a16:creationId xmlns="" xmlns:a16="http://schemas.microsoft.com/office/drawing/2014/main" id="{EAAB505B-4023-494D-A224-BC956A5A09C5}"/>
            </a:ext>
          </a:extLst>
        </xdr:cNvPr>
        <xdr:cNvSpPr txBox="1">
          <a:spLocks noChangeArrowheads="1"/>
        </xdr:cNvSpPr>
      </xdr:nvSpPr>
      <xdr:spPr bwMode="auto">
        <a:xfrm>
          <a:off x="4314825" y="13325475"/>
          <a:ext cx="76200" cy="2346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85725</xdr:colOff>
      <xdr:row>29</xdr:row>
      <xdr:rowOff>60074</xdr:rowOff>
    </xdr:to>
    <xdr:sp macro="" textlink="">
      <xdr:nvSpPr>
        <xdr:cNvPr id="223" name="Text Box 12">
          <a:extLst>
            <a:ext uri="{FF2B5EF4-FFF2-40B4-BE49-F238E27FC236}">
              <a16:creationId xmlns="" xmlns:a16="http://schemas.microsoft.com/office/drawing/2014/main" id="{5B75D88C-CDF3-4841-AE06-80C74F5C2B3D}"/>
            </a:ext>
          </a:extLst>
        </xdr:cNvPr>
        <xdr:cNvSpPr txBox="1">
          <a:spLocks noChangeArrowheads="1"/>
        </xdr:cNvSpPr>
      </xdr:nvSpPr>
      <xdr:spPr bwMode="auto">
        <a:xfrm>
          <a:off x="4314825" y="13325475"/>
          <a:ext cx="76200" cy="2346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224" name="Text Box 10">
          <a:extLst>
            <a:ext uri="{FF2B5EF4-FFF2-40B4-BE49-F238E27FC236}">
              <a16:creationId xmlns="" xmlns:a16="http://schemas.microsoft.com/office/drawing/2014/main" id="{863C77DC-FBFD-461E-A140-5C8D62697EC2}"/>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225" name="Text Box 11">
          <a:extLst>
            <a:ext uri="{FF2B5EF4-FFF2-40B4-BE49-F238E27FC236}">
              <a16:creationId xmlns="" xmlns:a16="http://schemas.microsoft.com/office/drawing/2014/main" id="{D160DE4E-9677-4947-91C3-733F29373489}"/>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226" name="Text Box 12">
          <a:extLst>
            <a:ext uri="{FF2B5EF4-FFF2-40B4-BE49-F238E27FC236}">
              <a16:creationId xmlns="" xmlns:a16="http://schemas.microsoft.com/office/drawing/2014/main" id="{A4D9ED2E-8805-4A21-83E6-7C5E17162FC7}"/>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85725</xdr:colOff>
      <xdr:row>29</xdr:row>
      <xdr:rowOff>60074</xdr:rowOff>
    </xdr:to>
    <xdr:sp macro="" textlink="">
      <xdr:nvSpPr>
        <xdr:cNvPr id="227" name="Text Box 10">
          <a:extLst>
            <a:ext uri="{FF2B5EF4-FFF2-40B4-BE49-F238E27FC236}">
              <a16:creationId xmlns="" xmlns:a16="http://schemas.microsoft.com/office/drawing/2014/main" id="{9491FB35-C005-4253-B259-0084CF6437B6}"/>
            </a:ext>
          </a:extLst>
        </xdr:cNvPr>
        <xdr:cNvSpPr txBox="1">
          <a:spLocks noChangeArrowheads="1"/>
        </xdr:cNvSpPr>
      </xdr:nvSpPr>
      <xdr:spPr bwMode="auto">
        <a:xfrm>
          <a:off x="4314825" y="13325475"/>
          <a:ext cx="76200" cy="2346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85725</xdr:colOff>
      <xdr:row>29</xdr:row>
      <xdr:rowOff>60074</xdr:rowOff>
    </xdr:to>
    <xdr:sp macro="" textlink="">
      <xdr:nvSpPr>
        <xdr:cNvPr id="228" name="Text Box 11">
          <a:extLst>
            <a:ext uri="{FF2B5EF4-FFF2-40B4-BE49-F238E27FC236}">
              <a16:creationId xmlns="" xmlns:a16="http://schemas.microsoft.com/office/drawing/2014/main" id="{F8DB0D92-5DC4-475C-877A-580C4E5A2D62}"/>
            </a:ext>
          </a:extLst>
        </xdr:cNvPr>
        <xdr:cNvSpPr txBox="1">
          <a:spLocks noChangeArrowheads="1"/>
        </xdr:cNvSpPr>
      </xdr:nvSpPr>
      <xdr:spPr bwMode="auto">
        <a:xfrm>
          <a:off x="4314825" y="13325475"/>
          <a:ext cx="76200" cy="2346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85725</xdr:colOff>
      <xdr:row>29</xdr:row>
      <xdr:rowOff>60074</xdr:rowOff>
    </xdr:to>
    <xdr:sp macro="" textlink="">
      <xdr:nvSpPr>
        <xdr:cNvPr id="229" name="Text Box 12">
          <a:extLst>
            <a:ext uri="{FF2B5EF4-FFF2-40B4-BE49-F238E27FC236}">
              <a16:creationId xmlns="" xmlns:a16="http://schemas.microsoft.com/office/drawing/2014/main" id="{9A894475-41EB-41D2-9C58-F84A3BDDB3FD}"/>
            </a:ext>
          </a:extLst>
        </xdr:cNvPr>
        <xdr:cNvSpPr txBox="1">
          <a:spLocks noChangeArrowheads="1"/>
        </xdr:cNvSpPr>
      </xdr:nvSpPr>
      <xdr:spPr bwMode="auto">
        <a:xfrm>
          <a:off x="4314825" y="13325475"/>
          <a:ext cx="76200" cy="2346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230" name="Text Box 10">
          <a:extLst>
            <a:ext uri="{FF2B5EF4-FFF2-40B4-BE49-F238E27FC236}">
              <a16:creationId xmlns="" xmlns:a16="http://schemas.microsoft.com/office/drawing/2014/main" id="{2E6F3E14-6012-4023-A8A3-56E2856FC644}"/>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231" name="Text Box 11">
          <a:extLst>
            <a:ext uri="{FF2B5EF4-FFF2-40B4-BE49-F238E27FC236}">
              <a16:creationId xmlns="" xmlns:a16="http://schemas.microsoft.com/office/drawing/2014/main" id="{25E428DA-336A-4A60-90EF-F4B2CA02DD03}"/>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232" name="Text Box 12">
          <a:extLst>
            <a:ext uri="{FF2B5EF4-FFF2-40B4-BE49-F238E27FC236}">
              <a16:creationId xmlns="" xmlns:a16="http://schemas.microsoft.com/office/drawing/2014/main" id="{D787AF69-5C32-4492-95FF-0AB343598D19}"/>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233" name="Text Box 10">
          <a:extLst>
            <a:ext uri="{FF2B5EF4-FFF2-40B4-BE49-F238E27FC236}">
              <a16:creationId xmlns="" xmlns:a16="http://schemas.microsoft.com/office/drawing/2014/main" id="{10A4A2FE-8C06-4AA2-8445-E99A03168779}"/>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234" name="Text Box 11">
          <a:extLst>
            <a:ext uri="{FF2B5EF4-FFF2-40B4-BE49-F238E27FC236}">
              <a16:creationId xmlns="" xmlns:a16="http://schemas.microsoft.com/office/drawing/2014/main" id="{C37AAD49-0F5E-4065-98BE-0E4BCD081B00}"/>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235" name="Text Box 12">
          <a:extLst>
            <a:ext uri="{FF2B5EF4-FFF2-40B4-BE49-F238E27FC236}">
              <a16:creationId xmlns="" xmlns:a16="http://schemas.microsoft.com/office/drawing/2014/main" id="{BC0B5E72-C419-4A1D-A5AD-17D9D1E1EBA4}"/>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236" name="Text Box 10">
          <a:extLst>
            <a:ext uri="{FF2B5EF4-FFF2-40B4-BE49-F238E27FC236}">
              <a16:creationId xmlns="" xmlns:a16="http://schemas.microsoft.com/office/drawing/2014/main" id="{5C893B2A-BF33-4BFC-859E-64BD34603430}"/>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237" name="Text Box 11">
          <a:extLst>
            <a:ext uri="{FF2B5EF4-FFF2-40B4-BE49-F238E27FC236}">
              <a16:creationId xmlns="" xmlns:a16="http://schemas.microsoft.com/office/drawing/2014/main" id="{ACB7FC0C-041B-46CB-91C9-833394C74D5E}"/>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238" name="Text Box 12">
          <a:extLst>
            <a:ext uri="{FF2B5EF4-FFF2-40B4-BE49-F238E27FC236}">
              <a16:creationId xmlns="" xmlns:a16="http://schemas.microsoft.com/office/drawing/2014/main" id="{C9B8041D-AFE9-47A7-8884-D76E7B1AC447}"/>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239" name="Text Box 10">
          <a:extLst>
            <a:ext uri="{FF2B5EF4-FFF2-40B4-BE49-F238E27FC236}">
              <a16:creationId xmlns="" xmlns:a16="http://schemas.microsoft.com/office/drawing/2014/main" id="{7A3F7DF6-B138-4056-9C2D-27A3AE9FD930}"/>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240" name="Text Box 11">
          <a:extLst>
            <a:ext uri="{FF2B5EF4-FFF2-40B4-BE49-F238E27FC236}">
              <a16:creationId xmlns="" xmlns:a16="http://schemas.microsoft.com/office/drawing/2014/main" id="{D0A81544-43F5-471A-B96C-92259E468431}"/>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241" name="Text Box 12">
          <a:extLst>
            <a:ext uri="{FF2B5EF4-FFF2-40B4-BE49-F238E27FC236}">
              <a16:creationId xmlns="" xmlns:a16="http://schemas.microsoft.com/office/drawing/2014/main" id="{FCCB6B32-0442-4B37-830D-23483B28B29F}"/>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242" name="Text Box 10">
          <a:extLst>
            <a:ext uri="{FF2B5EF4-FFF2-40B4-BE49-F238E27FC236}">
              <a16:creationId xmlns="" xmlns:a16="http://schemas.microsoft.com/office/drawing/2014/main" id="{0DE96346-B27B-4CCD-A467-6F5D8F88B3D3}"/>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243" name="Text Box 11">
          <a:extLst>
            <a:ext uri="{FF2B5EF4-FFF2-40B4-BE49-F238E27FC236}">
              <a16:creationId xmlns="" xmlns:a16="http://schemas.microsoft.com/office/drawing/2014/main" id="{6F57BA96-E799-496F-B111-89231BB3DCA6}"/>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244" name="Text Box 12">
          <a:extLst>
            <a:ext uri="{FF2B5EF4-FFF2-40B4-BE49-F238E27FC236}">
              <a16:creationId xmlns="" xmlns:a16="http://schemas.microsoft.com/office/drawing/2014/main" id="{4EE6F846-590A-48C1-951F-C2C28D148A57}"/>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245" name="Text Box 10">
          <a:extLst>
            <a:ext uri="{FF2B5EF4-FFF2-40B4-BE49-F238E27FC236}">
              <a16:creationId xmlns="" xmlns:a16="http://schemas.microsoft.com/office/drawing/2014/main" id="{FFC5DCE2-46CB-4EE6-8954-0C7798A1DE36}"/>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246" name="Text Box 11">
          <a:extLst>
            <a:ext uri="{FF2B5EF4-FFF2-40B4-BE49-F238E27FC236}">
              <a16:creationId xmlns="" xmlns:a16="http://schemas.microsoft.com/office/drawing/2014/main" id="{C15D1F17-099C-4D2C-A671-A928FDFC7749}"/>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247" name="Text Box 12">
          <a:extLst>
            <a:ext uri="{FF2B5EF4-FFF2-40B4-BE49-F238E27FC236}">
              <a16:creationId xmlns="" xmlns:a16="http://schemas.microsoft.com/office/drawing/2014/main" id="{97D1794B-D57D-4D9F-9A0D-E63F0FC704A8}"/>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248" name="Text Box 10">
          <a:extLst>
            <a:ext uri="{FF2B5EF4-FFF2-40B4-BE49-F238E27FC236}">
              <a16:creationId xmlns="" xmlns:a16="http://schemas.microsoft.com/office/drawing/2014/main" id="{D9CED5A0-CC5E-4961-897C-F3287B7EEF88}"/>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249" name="Text Box 11">
          <a:extLst>
            <a:ext uri="{FF2B5EF4-FFF2-40B4-BE49-F238E27FC236}">
              <a16:creationId xmlns="" xmlns:a16="http://schemas.microsoft.com/office/drawing/2014/main" id="{912BF93E-13D3-4893-A004-73D3D649B962}"/>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250" name="Text Box 12">
          <a:extLst>
            <a:ext uri="{FF2B5EF4-FFF2-40B4-BE49-F238E27FC236}">
              <a16:creationId xmlns="" xmlns:a16="http://schemas.microsoft.com/office/drawing/2014/main" id="{C12BE7FA-526F-4086-80C0-2A73322A2B31}"/>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251" name="Text Box 10">
          <a:extLst>
            <a:ext uri="{FF2B5EF4-FFF2-40B4-BE49-F238E27FC236}">
              <a16:creationId xmlns="" xmlns:a16="http://schemas.microsoft.com/office/drawing/2014/main" id="{24C52B6E-E47A-49EF-B430-CCEF81155BA5}"/>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252" name="Text Box 11">
          <a:extLst>
            <a:ext uri="{FF2B5EF4-FFF2-40B4-BE49-F238E27FC236}">
              <a16:creationId xmlns="" xmlns:a16="http://schemas.microsoft.com/office/drawing/2014/main" id="{0EE854A9-871B-449E-93C8-838214678364}"/>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253" name="Text Box 12">
          <a:extLst>
            <a:ext uri="{FF2B5EF4-FFF2-40B4-BE49-F238E27FC236}">
              <a16:creationId xmlns="" xmlns:a16="http://schemas.microsoft.com/office/drawing/2014/main" id="{1E25C305-C520-47F9-A4B8-D123458B3448}"/>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254" name="Text Box 10">
          <a:extLst>
            <a:ext uri="{FF2B5EF4-FFF2-40B4-BE49-F238E27FC236}">
              <a16:creationId xmlns="" xmlns:a16="http://schemas.microsoft.com/office/drawing/2014/main" id="{C530B895-911C-4530-A193-89C9C7BD83DA}"/>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255" name="Text Box 11">
          <a:extLst>
            <a:ext uri="{FF2B5EF4-FFF2-40B4-BE49-F238E27FC236}">
              <a16:creationId xmlns="" xmlns:a16="http://schemas.microsoft.com/office/drawing/2014/main" id="{0C69E5B1-F7A1-4C6E-8799-AECE367B29A4}"/>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256" name="Text Box 12">
          <a:extLst>
            <a:ext uri="{FF2B5EF4-FFF2-40B4-BE49-F238E27FC236}">
              <a16:creationId xmlns="" xmlns:a16="http://schemas.microsoft.com/office/drawing/2014/main" id="{B6C805BC-7C83-424E-A3A1-679BC899078B}"/>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257" name="Text Box 10">
          <a:extLst>
            <a:ext uri="{FF2B5EF4-FFF2-40B4-BE49-F238E27FC236}">
              <a16:creationId xmlns="" xmlns:a16="http://schemas.microsoft.com/office/drawing/2014/main" id="{734897A0-E35E-447F-980B-5BE8437696AB}"/>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258" name="Text Box 11">
          <a:extLst>
            <a:ext uri="{FF2B5EF4-FFF2-40B4-BE49-F238E27FC236}">
              <a16:creationId xmlns="" xmlns:a16="http://schemas.microsoft.com/office/drawing/2014/main" id="{E2C3EF22-2084-47D2-8A50-D15E5054CCAE}"/>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259" name="Text Box 12">
          <a:extLst>
            <a:ext uri="{FF2B5EF4-FFF2-40B4-BE49-F238E27FC236}">
              <a16:creationId xmlns="" xmlns:a16="http://schemas.microsoft.com/office/drawing/2014/main" id="{91EB5816-2405-4DD4-90BE-AB5AB3DA9B71}"/>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85725</xdr:colOff>
      <xdr:row>29</xdr:row>
      <xdr:rowOff>60074</xdr:rowOff>
    </xdr:to>
    <xdr:sp macro="" textlink="">
      <xdr:nvSpPr>
        <xdr:cNvPr id="260" name="Text Box 10">
          <a:extLst>
            <a:ext uri="{FF2B5EF4-FFF2-40B4-BE49-F238E27FC236}">
              <a16:creationId xmlns="" xmlns:a16="http://schemas.microsoft.com/office/drawing/2014/main" id="{B3C61738-7A8F-4D56-B698-84628B125AA5}"/>
            </a:ext>
          </a:extLst>
        </xdr:cNvPr>
        <xdr:cNvSpPr txBox="1">
          <a:spLocks noChangeArrowheads="1"/>
        </xdr:cNvSpPr>
      </xdr:nvSpPr>
      <xdr:spPr bwMode="auto">
        <a:xfrm>
          <a:off x="4314825" y="13325475"/>
          <a:ext cx="76200" cy="2346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85725</xdr:colOff>
      <xdr:row>29</xdr:row>
      <xdr:rowOff>60074</xdr:rowOff>
    </xdr:to>
    <xdr:sp macro="" textlink="">
      <xdr:nvSpPr>
        <xdr:cNvPr id="261" name="Text Box 11">
          <a:extLst>
            <a:ext uri="{FF2B5EF4-FFF2-40B4-BE49-F238E27FC236}">
              <a16:creationId xmlns="" xmlns:a16="http://schemas.microsoft.com/office/drawing/2014/main" id="{09DDD8B6-14ED-4CF9-B115-B35AC376DD3B}"/>
            </a:ext>
          </a:extLst>
        </xdr:cNvPr>
        <xdr:cNvSpPr txBox="1">
          <a:spLocks noChangeArrowheads="1"/>
        </xdr:cNvSpPr>
      </xdr:nvSpPr>
      <xdr:spPr bwMode="auto">
        <a:xfrm>
          <a:off x="4314825" y="13325475"/>
          <a:ext cx="76200" cy="2346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85725</xdr:colOff>
      <xdr:row>29</xdr:row>
      <xdr:rowOff>60074</xdr:rowOff>
    </xdr:to>
    <xdr:sp macro="" textlink="">
      <xdr:nvSpPr>
        <xdr:cNvPr id="262" name="Text Box 12">
          <a:extLst>
            <a:ext uri="{FF2B5EF4-FFF2-40B4-BE49-F238E27FC236}">
              <a16:creationId xmlns="" xmlns:a16="http://schemas.microsoft.com/office/drawing/2014/main" id="{E2EB9B6D-33F1-4324-A938-1764C902F0B2}"/>
            </a:ext>
          </a:extLst>
        </xdr:cNvPr>
        <xdr:cNvSpPr txBox="1">
          <a:spLocks noChangeArrowheads="1"/>
        </xdr:cNvSpPr>
      </xdr:nvSpPr>
      <xdr:spPr bwMode="auto">
        <a:xfrm>
          <a:off x="4314825" y="13325475"/>
          <a:ext cx="76200" cy="2346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85725</xdr:colOff>
      <xdr:row>29</xdr:row>
      <xdr:rowOff>60074</xdr:rowOff>
    </xdr:to>
    <xdr:sp macro="" textlink="">
      <xdr:nvSpPr>
        <xdr:cNvPr id="263" name="Text Box 10">
          <a:extLst>
            <a:ext uri="{FF2B5EF4-FFF2-40B4-BE49-F238E27FC236}">
              <a16:creationId xmlns="" xmlns:a16="http://schemas.microsoft.com/office/drawing/2014/main" id="{40991D28-FCB4-44FC-A787-DEE2F0F1266D}"/>
            </a:ext>
          </a:extLst>
        </xdr:cNvPr>
        <xdr:cNvSpPr txBox="1">
          <a:spLocks noChangeArrowheads="1"/>
        </xdr:cNvSpPr>
      </xdr:nvSpPr>
      <xdr:spPr bwMode="auto">
        <a:xfrm>
          <a:off x="4314825" y="13325475"/>
          <a:ext cx="76200" cy="2346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85725</xdr:colOff>
      <xdr:row>29</xdr:row>
      <xdr:rowOff>60074</xdr:rowOff>
    </xdr:to>
    <xdr:sp macro="" textlink="">
      <xdr:nvSpPr>
        <xdr:cNvPr id="264" name="Text Box 11">
          <a:extLst>
            <a:ext uri="{FF2B5EF4-FFF2-40B4-BE49-F238E27FC236}">
              <a16:creationId xmlns="" xmlns:a16="http://schemas.microsoft.com/office/drawing/2014/main" id="{48928662-E3AE-4846-8387-F052DC7D2DF0}"/>
            </a:ext>
          </a:extLst>
        </xdr:cNvPr>
        <xdr:cNvSpPr txBox="1">
          <a:spLocks noChangeArrowheads="1"/>
        </xdr:cNvSpPr>
      </xdr:nvSpPr>
      <xdr:spPr bwMode="auto">
        <a:xfrm>
          <a:off x="4314825" y="13325475"/>
          <a:ext cx="76200" cy="2346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85725</xdr:colOff>
      <xdr:row>29</xdr:row>
      <xdr:rowOff>60074</xdr:rowOff>
    </xdr:to>
    <xdr:sp macro="" textlink="">
      <xdr:nvSpPr>
        <xdr:cNvPr id="265" name="Text Box 12">
          <a:extLst>
            <a:ext uri="{FF2B5EF4-FFF2-40B4-BE49-F238E27FC236}">
              <a16:creationId xmlns="" xmlns:a16="http://schemas.microsoft.com/office/drawing/2014/main" id="{FD1FC062-4F23-482F-9EF9-11448B6E7401}"/>
            </a:ext>
          </a:extLst>
        </xdr:cNvPr>
        <xdr:cNvSpPr txBox="1">
          <a:spLocks noChangeArrowheads="1"/>
        </xdr:cNvSpPr>
      </xdr:nvSpPr>
      <xdr:spPr bwMode="auto">
        <a:xfrm>
          <a:off x="4314825" y="13325475"/>
          <a:ext cx="76200" cy="2346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266" name="Text Box 10">
          <a:extLst>
            <a:ext uri="{FF2B5EF4-FFF2-40B4-BE49-F238E27FC236}">
              <a16:creationId xmlns="" xmlns:a16="http://schemas.microsoft.com/office/drawing/2014/main" id="{78E66D44-A483-43A0-BBF1-7E2AFB2F65EC}"/>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267" name="Text Box 11">
          <a:extLst>
            <a:ext uri="{FF2B5EF4-FFF2-40B4-BE49-F238E27FC236}">
              <a16:creationId xmlns="" xmlns:a16="http://schemas.microsoft.com/office/drawing/2014/main" id="{2B2E6728-1E2C-4796-B4F8-9DAA20EB6441}"/>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268" name="Text Box 12">
          <a:extLst>
            <a:ext uri="{FF2B5EF4-FFF2-40B4-BE49-F238E27FC236}">
              <a16:creationId xmlns="" xmlns:a16="http://schemas.microsoft.com/office/drawing/2014/main" id="{0970B4CC-7178-4CFC-BE6F-77278AEEC94F}"/>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269" name="Text Box 10">
          <a:extLst>
            <a:ext uri="{FF2B5EF4-FFF2-40B4-BE49-F238E27FC236}">
              <a16:creationId xmlns="" xmlns:a16="http://schemas.microsoft.com/office/drawing/2014/main" id="{F4ABE0CE-F8B6-4EB1-AE81-60B846AE843C}"/>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270" name="Text Box 11">
          <a:extLst>
            <a:ext uri="{FF2B5EF4-FFF2-40B4-BE49-F238E27FC236}">
              <a16:creationId xmlns="" xmlns:a16="http://schemas.microsoft.com/office/drawing/2014/main" id="{8A39C3B8-13FC-4502-94AE-C223E02A66B4}"/>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271" name="Text Box 12">
          <a:extLst>
            <a:ext uri="{FF2B5EF4-FFF2-40B4-BE49-F238E27FC236}">
              <a16:creationId xmlns="" xmlns:a16="http://schemas.microsoft.com/office/drawing/2014/main" id="{E9D380B3-EDED-49D2-B5E7-F7FD265F5450}"/>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272" name="Text Box 10">
          <a:extLst>
            <a:ext uri="{FF2B5EF4-FFF2-40B4-BE49-F238E27FC236}">
              <a16:creationId xmlns="" xmlns:a16="http://schemas.microsoft.com/office/drawing/2014/main" id="{FCF38073-9890-4D49-BC44-1EC2395C50D7}"/>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273" name="Text Box 11">
          <a:extLst>
            <a:ext uri="{FF2B5EF4-FFF2-40B4-BE49-F238E27FC236}">
              <a16:creationId xmlns="" xmlns:a16="http://schemas.microsoft.com/office/drawing/2014/main" id="{7C4DB4D7-0565-4AB5-9F52-A4365C9BB305}"/>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274" name="Text Box 12">
          <a:extLst>
            <a:ext uri="{FF2B5EF4-FFF2-40B4-BE49-F238E27FC236}">
              <a16:creationId xmlns="" xmlns:a16="http://schemas.microsoft.com/office/drawing/2014/main" id="{AF77F36F-3D91-49B8-8275-7D3AA9B30188}"/>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275" name="Text Box 10">
          <a:extLst>
            <a:ext uri="{FF2B5EF4-FFF2-40B4-BE49-F238E27FC236}">
              <a16:creationId xmlns="" xmlns:a16="http://schemas.microsoft.com/office/drawing/2014/main" id="{162BBCA0-DAAE-4A43-BFBA-046129020D33}"/>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276" name="Text Box 11">
          <a:extLst>
            <a:ext uri="{FF2B5EF4-FFF2-40B4-BE49-F238E27FC236}">
              <a16:creationId xmlns="" xmlns:a16="http://schemas.microsoft.com/office/drawing/2014/main" id="{57468A69-A60B-455C-9CB1-52250699D23C}"/>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277" name="Text Box 12">
          <a:extLst>
            <a:ext uri="{FF2B5EF4-FFF2-40B4-BE49-F238E27FC236}">
              <a16:creationId xmlns="" xmlns:a16="http://schemas.microsoft.com/office/drawing/2014/main" id="{E1CB7EFA-4A74-4ED4-94D4-9A63FB0586F3}"/>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278" name="Text Box 10">
          <a:extLst>
            <a:ext uri="{FF2B5EF4-FFF2-40B4-BE49-F238E27FC236}">
              <a16:creationId xmlns="" xmlns:a16="http://schemas.microsoft.com/office/drawing/2014/main" id="{D8B3D4D2-1649-4DB3-B5C3-670DA3C2208A}"/>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279" name="Text Box 11">
          <a:extLst>
            <a:ext uri="{FF2B5EF4-FFF2-40B4-BE49-F238E27FC236}">
              <a16:creationId xmlns="" xmlns:a16="http://schemas.microsoft.com/office/drawing/2014/main" id="{9BDE7810-3CA3-49C8-8095-94E597C817A0}"/>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280" name="Text Box 12">
          <a:extLst>
            <a:ext uri="{FF2B5EF4-FFF2-40B4-BE49-F238E27FC236}">
              <a16:creationId xmlns="" xmlns:a16="http://schemas.microsoft.com/office/drawing/2014/main" id="{659AF6AC-CD51-4DE5-B35F-FEDAC4E706CA}"/>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281" name="Text Box 10">
          <a:extLst>
            <a:ext uri="{FF2B5EF4-FFF2-40B4-BE49-F238E27FC236}">
              <a16:creationId xmlns="" xmlns:a16="http://schemas.microsoft.com/office/drawing/2014/main" id="{315DC192-CC3D-4B0C-A0F0-CDADA9F1ED04}"/>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282" name="Text Box 11">
          <a:extLst>
            <a:ext uri="{FF2B5EF4-FFF2-40B4-BE49-F238E27FC236}">
              <a16:creationId xmlns="" xmlns:a16="http://schemas.microsoft.com/office/drawing/2014/main" id="{559B2B93-5D82-4BE0-AB8C-38441D0D5617}"/>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283" name="Text Box 12">
          <a:extLst>
            <a:ext uri="{FF2B5EF4-FFF2-40B4-BE49-F238E27FC236}">
              <a16:creationId xmlns="" xmlns:a16="http://schemas.microsoft.com/office/drawing/2014/main" id="{F78EAD3E-F52A-4E97-AE55-3CD461EBB1A6}"/>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284" name="Text Box 10">
          <a:extLst>
            <a:ext uri="{FF2B5EF4-FFF2-40B4-BE49-F238E27FC236}">
              <a16:creationId xmlns="" xmlns:a16="http://schemas.microsoft.com/office/drawing/2014/main" id="{0FC9CA78-DEB3-4C4B-8A17-0D72CA6A4C5F}"/>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285" name="Text Box 11">
          <a:extLst>
            <a:ext uri="{FF2B5EF4-FFF2-40B4-BE49-F238E27FC236}">
              <a16:creationId xmlns="" xmlns:a16="http://schemas.microsoft.com/office/drawing/2014/main" id="{8B48BE32-9676-457C-8D6B-1AD103BEE7EE}"/>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286" name="Text Box 12">
          <a:extLst>
            <a:ext uri="{FF2B5EF4-FFF2-40B4-BE49-F238E27FC236}">
              <a16:creationId xmlns="" xmlns:a16="http://schemas.microsoft.com/office/drawing/2014/main" id="{D79CE70F-3BE6-473D-8A7F-ED3A50FF6AD4}"/>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287" name="Text Box 10">
          <a:extLst>
            <a:ext uri="{FF2B5EF4-FFF2-40B4-BE49-F238E27FC236}">
              <a16:creationId xmlns="" xmlns:a16="http://schemas.microsoft.com/office/drawing/2014/main" id="{9DCB6AFB-6B5D-419E-8722-01CB2A27293B}"/>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288" name="Text Box 11">
          <a:extLst>
            <a:ext uri="{FF2B5EF4-FFF2-40B4-BE49-F238E27FC236}">
              <a16:creationId xmlns="" xmlns:a16="http://schemas.microsoft.com/office/drawing/2014/main" id="{9F86E28D-3770-42A3-93CE-8AF9B09B6F7E}"/>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289" name="Text Box 12">
          <a:extLst>
            <a:ext uri="{FF2B5EF4-FFF2-40B4-BE49-F238E27FC236}">
              <a16:creationId xmlns="" xmlns:a16="http://schemas.microsoft.com/office/drawing/2014/main" id="{09C709CD-2893-4CFC-8F3B-5DADFA45646B}"/>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290" name="Text Box 10">
          <a:extLst>
            <a:ext uri="{FF2B5EF4-FFF2-40B4-BE49-F238E27FC236}">
              <a16:creationId xmlns="" xmlns:a16="http://schemas.microsoft.com/office/drawing/2014/main" id="{09E9F88A-F7DC-46BD-B4D4-497659C80031}"/>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291" name="Text Box 11">
          <a:extLst>
            <a:ext uri="{FF2B5EF4-FFF2-40B4-BE49-F238E27FC236}">
              <a16:creationId xmlns="" xmlns:a16="http://schemas.microsoft.com/office/drawing/2014/main" id="{43A209AE-6BDC-433A-9235-DFE93D56E12E}"/>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292" name="Text Box 12">
          <a:extLst>
            <a:ext uri="{FF2B5EF4-FFF2-40B4-BE49-F238E27FC236}">
              <a16:creationId xmlns="" xmlns:a16="http://schemas.microsoft.com/office/drawing/2014/main" id="{265E3E1F-2335-4489-ADB3-95A2BEFBB286}"/>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293" name="Text Box 10">
          <a:extLst>
            <a:ext uri="{FF2B5EF4-FFF2-40B4-BE49-F238E27FC236}">
              <a16:creationId xmlns="" xmlns:a16="http://schemas.microsoft.com/office/drawing/2014/main" id="{69279106-0E17-4C45-8234-817FBAB6493E}"/>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294" name="Text Box 11">
          <a:extLst>
            <a:ext uri="{FF2B5EF4-FFF2-40B4-BE49-F238E27FC236}">
              <a16:creationId xmlns="" xmlns:a16="http://schemas.microsoft.com/office/drawing/2014/main" id="{F02D5088-CCC4-462B-9086-C12220620E32}"/>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295" name="Text Box 12">
          <a:extLst>
            <a:ext uri="{FF2B5EF4-FFF2-40B4-BE49-F238E27FC236}">
              <a16:creationId xmlns="" xmlns:a16="http://schemas.microsoft.com/office/drawing/2014/main" id="{F7B9A492-31C3-4FDF-973E-1A14A307AF14}"/>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296" name="Text Box 10">
          <a:extLst>
            <a:ext uri="{FF2B5EF4-FFF2-40B4-BE49-F238E27FC236}">
              <a16:creationId xmlns="" xmlns:a16="http://schemas.microsoft.com/office/drawing/2014/main" id="{361302A3-8663-468E-A802-A62386154136}"/>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297" name="Text Box 11">
          <a:extLst>
            <a:ext uri="{FF2B5EF4-FFF2-40B4-BE49-F238E27FC236}">
              <a16:creationId xmlns="" xmlns:a16="http://schemas.microsoft.com/office/drawing/2014/main" id="{5235D5BB-67BF-403A-B5B5-57A61DC04EAE}"/>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298" name="Text Box 12">
          <a:extLst>
            <a:ext uri="{FF2B5EF4-FFF2-40B4-BE49-F238E27FC236}">
              <a16:creationId xmlns="" xmlns:a16="http://schemas.microsoft.com/office/drawing/2014/main" id="{BADBD9A9-F3FE-4C92-86AD-B4DAD64D5DCE}"/>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299" name="Text Box 10">
          <a:extLst>
            <a:ext uri="{FF2B5EF4-FFF2-40B4-BE49-F238E27FC236}">
              <a16:creationId xmlns="" xmlns:a16="http://schemas.microsoft.com/office/drawing/2014/main" id="{29F3C068-D0F3-47C3-B618-42237957757A}"/>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300" name="Text Box 11">
          <a:extLst>
            <a:ext uri="{FF2B5EF4-FFF2-40B4-BE49-F238E27FC236}">
              <a16:creationId xmlns="" xmlns:a16="http://schemas.microsoft.com/office/drawing/2014/main" id="{60590EAC-768A-486E-85C1-DFE1060E3D60}"/>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301" name="Text Box 12">
          <a:extLst>
            <a:ext uri="{FF2B5EF4-FFF2-40B4-BE49-F238E27FC236}">
              <a16:creationId xmlns="" xmlns:a16="http://schemas.microsoft.com/office/drawing/2014/main" id="{E3176EDE-1D4B-4529-8C61-D3BF19C87841}"/>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302" name="Text Box 10">
          <a:extLst>
            <a:ext uri="{FF2B5EF4-FFF2-40B4-BE49-F238E27FC236}">
              <a16:creationId xmlns="" xmlns:a16="http://schemas.microsoft.com/office/drawing/2014/main" id="{7D27179D-4BB0-4848-95BA-274B874819D1}"/>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303" name="Text Box 11">
          <a:extLst>
            <a:ext uri="{FF2B5EF4-FFF2-40B4-BE49-F238E27FC236}">
              <a16:creationId xmlns="" xmlns:a16="http://schemas.microsoft.com/office/drawing/2014/main" id="{E3676209-1B1A-4ABF-A24D-4515E8EA7DE6}"/>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304" name="Text Box 12">
          <a:extLst>
            <a:ext uri="{FF2B5EF4-FFF2-40B4-BE49-F238E27FC236}">
              <a16:creationId xmlns="" xmlns:a16="http://schemas.microsoft.com/office/drawing/2014/main" id="{93F412FE-69A1-4E5B-B839-F92E83E2FDCE}"/>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305" name="Text Box 10">
          <a:extLst>
            <a:ext uri="{FF2B5EF4-FFF2-40B4-BE49-F238E27FC236}">
              <a16:creationId xmlns="" xmlns:a16="http://schemas.microsoft.com/office/drawing/2014/main" id="{581A3A65-A186-4B9E-A069-03357A761AD9}"/>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306" name="Text Box 11">
          <a:extLst>
            <a:ext uri="{FF2B5EF4-FFF2-40B4-BE49-F238E27FC236}">
              <a16:creationId xmlns="" xmlns:a16="http://schemas.microsoft.com/office/drawing/2014/main" id="{4B0017C7-C96A-400F-850A-9FB1149E9695}"/>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307" name="Text Box 12">
          <a:extLst>
            <a:ext uri="{FF2B5EF4-FFF2-40B4-BE49-F238E27FC236}">
              <a16:creationId xmlns="" xmlns:a16="http://schemas.microsoft.com/office/drawing/2014/main" id="{D53CBB88-C5AD-47E0-B61B-0DCE20796199}"/>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308" name="Text Box 10">
          <a:extLst>
            <a:ext uri="{FF2B5EF4-FFF2-40B4-BE49-F238E27FC236}">
              <a16:creationId xmlns="" xmlns:a16="http://schemas.microsoft.com/office/drawing/2014/main" id="{03FE5267-DB24-46DA-A7A9-13AC0187F1BE}"/>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309" name="Text Box 11">
          <a:extLst>
            <a:ext uri="{FF2B5EF4-FFF2-40B4-BE49-F238E27FC236}">
              <a16:creationId xmlns="" xmlns:a16="http://schemas.microsoft.com/office/drawing/2014/main" id="{B8845980-3340-4E76-9FD3-38BC54C72BD3}"/>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310" name="Text Box 12">
          <a:extLst>
            <a:ext uri="{FF2B5EF4-FFF2-40B4-BE49-F238E27FC236}">
              <a16:creationId xmlns="" xmlns:a16="http://schemas.microsoft.com/office/drawing/2014/main" id="{F04D3D9F-53DE-472F-8224-FE31C8BBD438}"/>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311" name="Text Box 10">
          <a:extLst>
            <a:ext uri="{FF2B5EF4-FFF2-40B4-BE49-F238E27FC236}">
              <a16:creationId xmlns="" xmlns:a16="http://schemas.microsoft.com/office/drawing/2014/main" id="{5E873A81-BB07-4D7C-9223-DC1D23250204}"/>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312" name="Text Box 11">
          <a:extLst>
            <a:ext uri="{FF2B5EF4-FFF2-40B4-BE49-F238E27FC236}">
              <a16:creationId xmlns="" xmlns:a16="http://schemas.microsoft.com/office/drawing/2014/main" id="{860CBED8-84E8-495C-9224-72749DB958CD}"/>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313" name="Text Box 12">
          <a:extLst>
            <a:ext uri="{FF2B5EF4-FFF2-40B4-BE49-F238E27FC236}">
              <a16:creationId xmlns="" xmlns:a16="http://schemas.microsoft.com/office/drawing/2014/main" id="{E80E8939-0EF5-4117-B67D-46ED76A8965E}"/>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314" name="Text Box 10">
          <a:extLst>
            <a:ext uri="{FF2B5EF4-FFF2-40B4-BE49-F238E27FC236}">
              <a16:creationId xmlns="" xmlns:a16="http://schemas.microsoft.com/office/drawing/2014/main" id="{1E4FD0C6-392E-4621-8F07-67703120F61A}"/>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315" name="Text Box 11">
          <a:extLst>
            <a:ext uri="{FF2B5EF4-FFF2-40B4-BE49-F238E27FC236}">
              <a16:creationId xmlns="" xmlns:a16="http://schemas.microsoft.com/office/drawing/2014/main" id="{4734FAD1-715C-4B2D-B37B-5CE2DE234C49}"/>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316" name="Text Box 12">
          <a:extLst>
            <a:ext uri="{FF2B5EF4-FFF2-40B4-BE49-F238E27FC236}">
              <a16:creationId xmlns="" xmlns:a16="http://schemas.microsoft.com/office/drawing/2014/main" id="{303A39ED-E446-44B2-A347-9A45D80185B1}"/>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317" name="Text Box 10">
          <a:extLst>
            <a:ext uri="{FF2B5EF4-FFF2-40B4-BE49-F238E27FC236}">
              <a16:creationId xmlns="" xmlns:a16="http://schemas.microsoft.com/office/drawing/2014/main" id="{98FA5EC0-5EBF-4CB4-8401-193E62E66E13}"/>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318" name="Text Box 11">
          <a:extLst>
            <a:ext uri="{FF2B5EF4-FFF2-40B4-BE49-F238E27FC236}">
              <a16:creationId xmlns="" xmlns:a16="http://schemas.microsoft.com/office/drawing/2014/main" id="{A9EE57FD-68D7-486E-A259-36B8B780583A}"/>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319" name="Text Box 12">
          <a:extLst>
            <a:ext uri="{FF2B5EF4-FFF2-40B4-BE49-F238E27FC236}">
              <a16:creationId xmlns="" xmlns:a16="http://schemas.microsoft.com/office/drawing/2014/main" id="{664356CD-35F9-469A-A980-BF1F58F4C68D}"/>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320" name="Text Box 10">
          <a:extLst>
            <a:ext uri="{FF2B5EF4-FFF2-40B4-BE49-F238E27FC236}">
              <a16:creationId xmlns="" xmlns:a16="http://schemas.microsoft.com/office/drawing/2014/main" id="{2C053CA6-97E5-4458-9943-2F21720C8369}"/>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321" name="Text Box 11">
          <a:extLst>
            <a:ext uri="{FF2B5EF4-FFF2-40B4-BE49-F238E27FC236}">
              <a16:creationId xmlns="" xmlns:a16="http://schemas.microsoft.com/office/drawing/2014/main" id="{04EB46BE-8C8B-4EB2-BA74-73AE4FA69947}"/>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322" name="Text Box 12">
          <a:extLst>
            <a:ext uri="{FF2B5EF4-FFF2-40B4-BE49-F238E27FC236}">
              <a16:creationId xmlns="" xmlns:a16="http://schemas.microsoft.com/office/drawing/2014/main" id="{F15E7E51-6AFA-4530-8E4F-F258ADE6B3FB}"/>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323" name="Text Box 10">
          <a:extLst>
            <a:ext uri="{FF2B5EF4-FFF2-40B4-BE49-F238E27FC236}">
              <a16:creationId xmlns="" xmlns:a16="http://schemas.microsoft.com/office/drawing/2014/main" id="{748822ED-6D54-48E4-9C14-91C910DF3B26}"/>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324" name="Text Box 11">
          <a:extLst>
            <a:ext uri="{FF2B5EF4-FFF2-40B4-BE49-F238E27FC236}">
              <a16:creationId xmlns="" xmlns:a16="http://schemas.microsoft.com/office/drawing/2014/main" id="{3962D145-C284-4814-A341-47DBDB3A0A58}"/>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325" name="Text Box 12">
          <a:extLst>
            <a:ext uri="{FF2B5EF4-FFF2-40B4-BE49-F238E27FC236}">
              <a16:creationId xmlns="" xmlns:a16="http://schemas.microsoft.com/office/drawing/2014/main" id="{5E27FB2A-F913-4019-A278-993B29A9AC2E}"/>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326" name="Text Box 10">
          <a:extLst>
            <a:ext uri="{FF2B5EF4-FFF2-40B4-BE49-F238E27FC236}">
              <a16:creationId xmlns="" xmlns:a16="http://schemas.microsoft.com/office/drawing/2014/main" id="{38807FCE-B817-4466-8581-D7F6422333A5}"/>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327" name="Text Box 11">
          <a:extLst>
            <a:ext uri="{FF2B5EF4-FFF2-40B4-BE49-F238E27FC236}">
              <a16:creationId xmlns="" xmlns:a16="http://schemas.microsoft.com/office/drawing/2014/main" id="{17DD6588-2C4F-483D-AC20-69C9F4DF13C1}"/>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328" name="Text Box 12">
          <a:extLst>
            <a:ext uri="{FF2B5EF4-FFF2-40B4-BE49-F238E27FC236}">
              <a16:creationId xmlns="" xmlns:a16="http://schemas.microsoft.com/office/drawing/2014/main" id="{A0E4A49F-6664-4422-B4E6-99867F81CD8A}"/>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329" name="Text Box 10">
          <a:extLst>
            <a:ext uri="{FF2B5EF4-FFF2-40B4-BE49-F238E27FC236}">
              <a16:creationId xmlns="" xmlns:a16="http://schemas.microsoft.com/office/drawing/2014/main" id="{ECED66B0-7E87-42D5-870D-49B911FA3BC4}"/>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330" name="Text Box 11">
          <a:extLst>
            <a:ext uri="{FF2B5EF4-FFF2-40B4-BE49-F238E27FC236}">
              <a16:creationId xmlns="" xmlns:a16="http://schemas.microsoft.com/office/drawing/2014/main" id="{DEEEC970-9430-4EA3-A88F-B65F0D009F7F}"/>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331" name="Text Box 12">
          <a:extLst>
            <a:ext uri="{FF2B5EF4-FFF2-40B4-BE49-F238E27FC236}">
              <a16:creationId xmlns="" xmlns:a16="http://schemas.microsoft.com/office/drawing/2014/main" id="{BB760A29-BD99-496B-8508-072512EE7228}"/>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332" name="Text Box 10">
          <a:extLst>
            <a:ext uri="{FF2B5EF4-FFF2-40B4-BE49-F238E27FC236}">
              <a16:creationId xmlns="" xmlns:a16="http://schemas.microsoft.com/office/drawing/2014/main" id="{83B41810-0D02-4ADD-94BB-10A6E0BE0263}"/>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333" name="Text Box 11">
          <a:extLst>
            <a:ext uri="{FF2B5EF4-FFF2-40B4-BE49-F238E27FC236}">
              <a16:creationId xmlns="" xmlns:a16="http://schemas.microsoft.com/office/drawing/2014/main" id="{C1318E29-00B4-40AC-9287-74BD663C5E25}"/>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334" name="Text Box 12">
          <a:extLst>
            <a:ext uri="{FF2B5EF4-FFF2-40B4-BE49-F238E27FC236}">
              <a16:creationId xmlns="" xmlns:a16="http://schemas.microsoft.com/office/drawing/2014/main" id="{B52288F3-98EE-4664-9E8E-47FFDA061D08}"/>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335" name="Text Box 10">
          <a:extLst>
            <a:ext uri="{FF2B5EF4-FFF2-40B4-BE49-F238E27FC236}">
              <a16:creationId xmlns="" xmlns:a16="http://schemas.microsoft.com/office/drawing/2014/main" id="{810A4534-2881-4EA0-9C57-467A0457F6E6}"/>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336" name="Text Box 11">
          <a:extLst>
            <a:ext uri="{FF2B5EF4-FFF2-40B4-BE49-F238E27FC236}">
              <a16:creationId xmlns="" xmlns:a16="http://schemas.microsoft.com/office/drawing/2014/main" id="{895A1BDF-EC08-4C0B-8D77-36973E57416A}"/>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337" name="Text Box 12">
          <a:extLst>
            <a:ext uri="{FF2B5EF4-FFF2-40B4-BE49-F238E27FC236}">
              <a16:creationId xmlns="" xmlns:a16="http://schemas.microsoft.com/office/drawing/2014/main" id="{9E35AE87-2605-4A0C-8DA0-D38C3CD32AA2}"/>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338" name="Text Box 10">
          <a:extLst>
            <a:ext uri="{FF2B5EF4-FFF2-40B4-BE49-F238E27FC236}">
              <a16:creationId xmlns="" xmlns:a16="http://schemas.microsoft.com/office/drawing/2014/main" id="{535D825B-E434-4B47-9E4D-8E235B6C5775}"/>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339" name="Text Box 11">
          <a:extLst>
            <a:ext uri="{FF2B5EF4-FFF2-40B4-BE49-F238E27FC236}">
              <a16:creationId xmlns="" xmlns:a16="http://schemas.microsoft.com/office/drawing/2014/main" id="{C9CD7213-9DAF-4A8C-A72A-9540DB18214F}"/>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340" name="Text Box 12">
          <a:extLst>
            <a:ext uri="{FF2B5EF4-FFF2-40B4-BE49-F238E27FC236}">
              <a16:creationId xmlns="" xmlns:a16="http://schemas.microsoft.com/office/drawing/2014/main" id="{3913F160-0104-48A8-B7F0-DC10F6069A08}"/>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341" name="Text Box 10">
          <a:extLst>
            <a:ext uri="{FF2B5EF4-FFF2-40B4-BE49-F238E27FC236}">
              <a16:creationId xmlns="" xmlns:a16="http://schemas.microsoft.com/office/drawing/2014/main" id="{3F067495-0C66-4037-80BB-0FFD9F581466}"/>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342" name="Text Box 11">
          <a:extLst>
            <a:ext uri="{FF2B5EF4-FFF2-40B4-BE49-F238E27FC236}">
              <a16:creationId xmlns="" xmlns:a16="http://schemas.microsoft.com/office/drawing/2014/main" id="{9351EDD4-0B27-4C19-AA97-9BDB83EB30F0}"/>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343" name="Text Box 12">
          <a:extLst>
            <a:ext uri="{FF2B5EF4-FFF2-40B4-BE49-F238E27FC236}">
              <a16:creationId xmlns="" xmlns:a16="http://schemas.microsoft.com/office/drawing/2014/main" id="{CC7D6B0C-1237-4C45-8C7D-879067CCD13B}"/>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344" name="Text Box 10">
          <a:extLst>
            <a:ext uri="{FF2B5EF4-FFF2-40B4-BE49-F238E27FC236}">
              <a16:creationId xmlns="" xmlns:a16="http://schemas.microsoft.com/office/drawing/2014/main" id="{DE6DAC46-7CC3-4C1D-ABEE-2BA6EE3D1B33}"/>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345" name="Text Box 11">
          <a:extLst>
            <a:ext uri="{FF2B5EF4-FFF2-40B4-BE49-F238E27FC236}">
              <a16:creationId xmlns="" xmlns:a16="http://schemas.microsoft.com/office/drawing/2014/main" id="{EDA6F76D-324F-4EB6-BD1D-3ACC337CAE15}"/>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346" name="Text Box 12">
          <a:extLst>
            <a:ext uri="{FF2B5EF4-FFF2-40B4-BE49-F238E27FC236}">
              <a16:creationId xmlns="" xmlns:a16="http://schemas.microsoft.com/office/drawing/2014/main" id="{41008217-0A17-4530-8166-474AFCC5AFCA}"/>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347" name="Text Box 10">
          <a:extLst>
            <a:ext uri="{FF2B5EF4-FFF2-40B4-BE49-F238E27FC236}">
              <a16:creationId xmlns="" xmlns:a16="http://schemas.microsoft.com/office/drawing/2014/main" id="{3C2A1BA1-99AB-4DB9-97C4-5533942DFF83}"/>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348" name="Text Box 11">
          <a:extLst>
            <a:ext uri="{FF2B5EF4-FFF2-40B4-BE49-F238E27FC236}">
              <a16:creationId xmlns="" xmlns:a16="http://schemas.microsoft.com/office/drawing/2014/main" id="{D9CCAF4A-DE13-4251-97BD-12D98D78DFC8}"/>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349" name="Text Box 12">
          <a:extLst>
            <a:ext uri="{FF2B5EF4-FFF2-40B4-BE49-F238E27FC236}">
              <a16:creationId xmlns="" xmlns:a16="http://schemas.microsoft.com/office/drawing/2014/main" id="{0B3522E2-B132-4289-8BE5-DC5B0FC34029}"/>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350" name="Text Box 10">
          <a:extLst>
            <a:ext uri="{FF2B5EF4-FFF2-40B4-BE49-F238E27FC236}">
              <a16:creationId xmlns="" xmlns:a16="http://schemas.microsoft.com/office/drawing/2014/main" id="{302A9AD2-121C-4B95-B1F8-7FE93141E1B0}"/>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351" name="Text Box 11">
          <a:extLst>
            <a:ext uri="{FF2B5EF4-FFF2-40B4-BE49-F238E27FC236}">
              <a16:creationId xmlns="" xmlns:a16="http://schemas.microsoft.com/office/drawing/2014/main" id="{8C00944F-9F5C-4A03-B32F-898A0551E07E}"/>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352" name="Text Box 12">
          <a:extLst>
            <a:ext uri="{FF2B5EF4-FFF2-40B4-BE49-F238E27FC236}">
              <a16:creationId xmlns="" xmlns:a16="http://schemas.microsoft.com/office/drawing/2014/main" id="{99D1D7CC-8D50-48D1-97F0-DF86B7EDC90C}"/>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353" name="Text Box 10">
          <a:extLst>
            <a:ext uri="{FF2B5EF4-FFF2-40B4-BE49-F238E27FC236}">
              <a16:creationId xmlns="" xmlns:a16="http://schemas.microsoft.com/office/drawing/2014/main" id="{32A3E8E5-8228-44ED-9894-A1F9331ECE46}"/>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354" name="Text Box 11">
          <a:extLst>
            <a:ext uri="{FF2B5EF4-FFF2-40B4-BE49-F238E27FC236}">
              <a16:creationId xmlns="" xmlns:a16="http://schemas.microsoft.com/office/drawing/2014/main" id="{085FEAF8-95F0-4448-AB3D-B4B45D084BB9}"/>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355" name="Text Box 12">
          <a:extLst>
            <a:ext uri="{FF2B5EF4-FFF2-40B4-BE49-F238E27FC236}">
              <a16:creationId xmlns="" xmlns:a16="http://schemas.microsoft.com/office/drawing/2014/main" id="{B9BF47BF-E339-4815-B84A-0F63A3B08ADB}"/>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356" name="Text Box 10">
          <a:extLst>
            <a:ext uri="{FF2B5EF4-FFF2-40B4-BE49-F238E27FC236}">
              <a16:creationId xmlns="" xmlns:a16="http://schemas.microsoft.com/office/drawing/2014/main" id="{1CC3D726-DC08-40DB-9CBB-EE1016721D66}"/>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357" name="Text Box 11">
          <a:extLst>
            <a:ext uri="{FF2B5EF4-FFF2-40B4-BE49-F238E27FC236}">
              <a16:creationId xmlns="" xmlns:a16="http://schemas.microsoft.com/office/drawing/2014/main" id="{3ABA5D4C-9E78-4793-8528-954EF8E8A397}"/>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358" name="Text Box 12">
          <a:extLst>
            <a:ext uri="{FF2B5EF4-FFF2-40B4-BE49-F238E27FC236}">
              <a16:creationId xmlns="" xmlns:a16="http://schemas.microsoft.com/office/drawing/2014/main" id="{0232E48F-8558-4B6E-A2CC-25753164F80B}"/>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359" name="Text Box 10">
          <a:extLst>
            <a:ext uri="{FF2B5EF4-FFF2-40B4-BE49-F238E27FC236}">
              <a16:creationId xmlns="" xmlns:a16="http://schemas.microsoft.com/office/drawing/2014/main" id="{20950119-C9B6-4BB5-9755-2D698C4A79BA}"/>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360" name="Text Box 11">
          <a:extLst>
            <a:ext uri="{FF2B5EF4-FFF2-40B4-BE49-F238E27FC236}">
              <a16:creationId xmlns="" xmlns:a16="http://schemas.microsoft.com/office/drawing/2014/main" id="{D4E814A4-E030-4488-B034-5EE4D3A96DBA}"/>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361" name="Text Box 12">
          <a:extLst>
            <a:ext uri="{FF2B5EF4-FFF2-40B4-BE49-F238E27FC236}">
              <a16:creationId xmlns="" xmlns:a16="http://schemas.microsoft.com/office/drawing/2014/main" id="{A306B8F9-A8F7-4B03-9B0A-B23586404B9B}"/>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362" name="Text Box 10">
          <a:extLst>
            <a:ext uri="{FF2B5EF4-FFF2-40B4-BE49-F238E27FC236}">
              <a16:creationId xmlns="" xmlns:a16="http://schemas.microsoft.com/office/drawing/2014/main" id="{E5BBA641-42F5-45E5-8149-AC57AFF561DE}"/>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363" name="Text Box 11">
          <a:extLst>
            <a:ext uri="{FF2B5EF4-FFF2-40B4-BE49-F238E27FC236}">
              <a16:creationId xmlns="" xmlns:a16="http://schemas.microsoft.com/office/drawing/2014/main" id="{C2901A58-15CA-428C-B3C2-ABEFCAC9DB97}"/>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364" name="Text Box 12">
          <a:extLst>
            <a:ext uri="{FF2B5EF4-FFF2-40B4-BE49-F238E27FC236}">
              <a16:creationId xmlns="" xmlns:a16="http://schemas.microsoft.com/office/drawing/2014/main" id="{D0ED2825-99A7-4B49-BB37-C651067C955B}"/>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365" name="Text Box 10">
          <a:extLst>
            <a:ext uri="{FF2B5EF4-FFF2-40B4-BE49-F238E27FC236}">
              <a16:creationId xmlns="" xmlns:a16="http://schemas.microsoft.com/office/drawing/2014/main" id="{344906C8-E7A4-43FA-B164-8ABE87E29487}"/>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366" name="Text Box 11">
          <a:extLst>
            <a:ext uri="{FF2B5EF4-FFF2-40B4-BE49-F238E27FC236}">
              <a16:creationId xmlns="" xmlns:a16="http://schemas.microsoft.com/office/drawing/2014/main" id="{D9E18000-0DDB-4BD2-A175-84DBB103E82E}"/>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367" name="Text Box 12">
          <a:extLst>
            <a:ext uri="{FF2B5EF4-FFF2-40B4-BE49-F238E27FC236}">
              <a16:creationId xmlns="" xmlns:a16="http://schemas.microsoft.com/office/drawing/2014/main" id="{248827B1-697D-488C-9DB3-80D82CB9BABE}"/>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368" name="Text Box 10">
          <a:extLst>
            <a:ext uri="{FF2B5EF4-FFF2-40B4-BE49-F238E27FC236}">
              <a16:creationId xmlns="" xmlns:a16="http://schemas.microsoft.com/office/drawing/2014/main" id="{C179ED5D-DDD9-4EF3-A3E3-F35FC958A115}"/>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369" name="Text Box 11">
          <a:extLst>
            <a:ext uri="{FF2B5EF4-FFF2-40B4-BE49-F238E27FC236}">
              <a16:creationId xmlns="" xmlns:a16="http://schemas.microsoft.com/office/drawing/2014/main" id="{E63FF5BE-6A9F-465B-9A55-D359D8609DEB}"/>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370" name="Text Box 12">
          <a:extLst>
            <a:ext uri="{FF2B5EF4-FFF2-40B4-BE49-F238E27FC236}">
              <a16:creationId xmlns="" xmlns:a16="http://schemas.microsoft.com/office/drawing/2014/main" id="{0E3FCD46-1E6A-4FD4-BF14-21615211F7BB}"/>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371" name="Text Box 10">
          <a:extLst>
            <a:ext uri="{FF2B5EF4-FFF2-40B4-BE49-F238E27FC236}">
              <a16:creationId xmlns="" xmlns:a16="http://schemas.microsoft.com/office/drawing/2014/main" id="{6BD18BE2-D158-4A24-9CBC-A515E8D5C8AE}"/>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372" name="Text Box 11">
          <a:extLst>
            <a:ext uri="{FF2B5EF4-FFF2-40B4-BE49-F238E27FC236}">
              <a16:creationId xmlns="" xmlns:a16="http://schemas.microsoft.com/office/drawing/2014/main" id="{B2462C7D-CFE4-4889-8F45-4A1084E73B8B}"/>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373" name="Text Box 12">
          <a:extLst>
            <a:ext uri="{FF2B5EF4-FFF2-40B4-BE49-F238E27FC236}">
              <a16:creationId xmlns="" xmlns:a16="http://schemas.microsoft.com/office/drawing/2014/main" id="{7F1A64C1-34D9-4C38-851A-5089D12C032B}"/>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374" name="Text Box 10">
          <a:extLst>
            <a:ext uri="{FF2B5EF4-FFF2-40B4-BE49-F238E27FC236}">
              <a16:creationId xmlns="" xmlns:a16="http://schemas.microsoft.com/office/drawing/2014/main" id="{FF360AC8-9576-40A2-98DB-B671FF41D87C}"/>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375" name="Text Box 11">
          <a:extLst>
            <a:ext uri="{FF2B5EF4-FFF2-40B4-BE49-F238E27FC236}">
              <a16:creationId xmlns="" xmlns:a16="http://schemas.microsoft.com/office/drawing/2014/main" id="{795D6FEE-C0B6-43C1-85AC-DA83954900D4}"/>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376" name="Text Box 12">
          <a:extLst>
            <a:ext uri="{FF2B5EF4-FFF2-40B4-BE49-F238E27FC236}">
              <a16:creationId xmlns="" xmlns:a16="http://schemas.microsoft.com/office/drawing/2014/main" id="{5E8AC04E-1B05-4D17-B06B-70FB3258C69F}"/>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377" name="Text Box 10">
          <a:extLst>
            <a:ext uri="{FF2B5EF4-FFF2-40B4-BE49-F238E27FC236}">
              <a16:creationId xmlns="" xmlns:a16="http://schemas.microsoft.com/office/drawing/2014/main" id="{92EA362A-8B0A-43BA-BCFF-88880A30ED18}"/>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378" name="Text Box 11">
          <a:extLst>
            <a:ext uri="{FF2B5EF4-FFF2-40B4-BE49-F238E27FC236}">
              <a16:creationId xmlns="" xmlns:a16="http://schemas.microsoft.com/office/drawing/2014/main" id="{60D24205-E9A9-491D-B86F-FFAAC6FD89B5}"/>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379" name="Text Box 12">
          <a:extLst>
            <a:ext uri="{FF2B5EF4-FFF2-40B4-BE49-F238E27FC236}">
              <a16:creationId xmlns="" xmlns:a16="http://schemas.microsoft.com/office/drawing/2014/main" id="{F5FA35F2-7E67-447F-B3A9-880CC74B0F3B}"/>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380" name="Text Box 10">
          <a:extLst>
            <a:ext uri="{FF2B5EF4-FFF2-40B4-BE49-F238E27FC236}">
              <a16:creationId xmlns="" xmlns:a16="http://schemas.microsoft.com/office/drawing/2014/main" id="{A50254EA-89CE-423F-BBD6-8090E3454A1E}"/>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381" name="Text Box 11">
          <a:extLst>
            <a:ext uri="{FF2B5EF4-FFF2-40B4-BE49-F238E27FC236}">
              <a16:creationId xmlns="" xmlns:a16="http://schemas.microsoft.com/office/drawing/2014/main" id="{56D68253-5F9D-4F8A-A414-C458A3275F02}"/>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382" name="Text Box 12">
          <a:extLst>
            <a:ext uri="{FF2B5EF4-FFF2-40B4-BE49-F238E27FC236}">
              <a16:creationId xmlns="" xmlns:a16="http://schemas.microsoft.com/office/drawing/2014/main" id="{C8F3F439-AEE7-424F-9047-0845000F3457}"/>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383" name="Text Box 10">
          <a:extLst>
            <a:ext uri="{FF2B5EF4-FFF2-40B4-BE49-F238E27FC236}">
              <a16:creationId xmlns="" xmlns:a16="http://schemas.microsoft.com/office/drawing/2014/main" id="{ED60E0C1-3BDC-421C-9A8D-4BFD8571DFC7}"/>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384" name="Text Box 11">
          <a:extLst>
            <a:ext uri="{FF2B5EF4-FFF2-40B4-BE49-F238E27FC236}">
              <a16:creationId xmlns="" xmlns:a16="http://schemas.microsoft.com/office/drawing/2014/main" id="{E9E7DDEA-35E6-43EE-9DB3-F3007B788437}"/>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385" name="Text Box 12">
          <a:extLst>
            <a:ext uri="{FF2B5EF4-FFF2-40B4-BE49-F238E27FC236}">
              <a16:creationId xmlns="" xmlns:a16="http://schemas.microsoft.com/office/drawing/2014/main" id="{8C50E64A-56C8-458E-9870-2EE0428ADC92}"/>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386" name="Text Box 10">
          <a:extLst>
            <a:ext uri="{FF2B5EF4-FFF2-40B4-BE49-F238E27FC236}">
              <a16:creationId xmlns="" xmlns:a16="http://schemas.microsoft.com/office/drawing/2014/main" id="{7B6E44A4-BD25-4BEA-A155-89CBCE7ED2B9}"/>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387" name="Text Box 11">
          <a:extLst>
            <a:ext uri="{FF2B5EF4-FFF2-40B4-BE49-F238E27FC236}">
              <a16:creationId xmlns="" xmlns:a16="http://schemas.microsoft.com/office/drawing/2014/main" id="{D67E0D95-B93D-4FF9-984F-B0693BCAE289}"/>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388" name="Text Box 12">
          <a:extLst>
            <a:ext uri="{FF2B5EF4-FFF2-40B4-BE49-F238E27FC236}">
              <a16:creationId xmlns="" xmlns:a16="http://schemas.microsoft.com/office/drawing/2014/main" id="{BCB91D50-A886-479D-8B56-8733E48D24A6}"/>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389" name="Text Box 10">
          <a:extLst>
            <a:ext uri="{FF2B5EF4-FFF2-40B4-BE49-F238E27FC236}">
              <a16:creationId xmlns="" xmlns:a16="http://schemas.microsoft.com/office/drawing/2014/main" id="{D1159092-79A7-4D40-90AE-FF665E91DB0D}"/>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390" name="Text Box 11">
          <a:extLst>
            <a:ext uri="{FF2B5EF4-FFF2-40B4-BE49-F238E27FC236}">
              <a16:creationId xmlns="" xmlns:a16="http://schemas.microsoft.com/office/drawing/2014/main" id="{1007A7C3-CDEE-47B2-A02E-472A42E44190}"/>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391" name="Text Box 12">
          <a:extLst>
            <a:ext uri="{FF2B5EF4-FFF2-40B4-BE49-F238E27FC236}">
              <a16:creationId xmlns="" xmlns:a16="http://schemas.microsoft.com/office/drawing/2014/main" id="{3DDAD8A2-9F9C-4468-8C2A-1195E4BA857A}"/>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392" name="Text Box 10">
          <a:extLst>
            <a:ext uri="{FF2B5EF4-FFF2-40B4-BE49-F238E27FC236}">
              <a16:creationId xmlns="" xmlns:a16="http://schemas.microsoft.com/office/drawing/2014/main" id="{84ECB33E-DF5F-40A6-B8F3-C944B8BE09EE}"/>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393" name="Text Box 11">
          <a:extLst>
            <a:ext uri="{FF2B5EF4-FFF2-40B4-BE49-F238E27FC236}">
              <a16:creationId xmlns="" xmlns:a16="http://schemas.microsoft.com/office/drawing/2014/main" id="{CD8B021C-F8ED-4AF1-9B63-D5153BF04DA1}"/>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394" name="Text Box 12">
          <a:extLst>
            <a:ext uri="{FF2B5EF4-FFF2-40B4-BE49-F238E27FC236}">
              <a16:creationId xmlns="" xmlns:a16="http://schemas.microsoft.com/office/drawing/2014/main" id="{F1AE0868-5FF0-4F33-BD5C-D76A045DCBF0}"/>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395" name="Text Box 10">
          <a:extLst>
            <a:ext uri="{FF2B5EF4-FFF2-40B4-BE49-F238E27FC236}">
              <a16:creationId xmlns="" xmlns:a16="http://schemas.microsoft.com/office/drawing/2014/main" id="{E0962B52-A354-4EA5-986A-3AB35C3A0DCC}"/>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396" name="Text Box 11">
          <a:extLst>
            <a:ext uri="{FF2B5EF4-FFF2-40B4-BE49-F238E27FC236}">
              <a16:creationId xmlns="" xmlns:a16="http://schemas.microsoft.com/office/drawing/2014/main" id="{7DA325BC-3E21-4385-8147-D739D31057BB}"/>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397" name="Text Box 12">
          <a:extLst>
            <a:ext uri="{FF2B5EF4-FFF2-40B4-BE49-F238E27FC236}">
              <a16:creationId xmlns="" xmlns:a16="http://schemas.microsoft.com/office/drawing/2014/main" id="{0287F080-13FC-4081-9085-98B5E8E3C128}"/>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398" name="Text Box 10">
          <a:extLst>
            <a:ext uri="{FF2B5EF4-FFF2-40B4-BE49-F238E27FC236}">
              <a16:creationId xmlns="" xmlns:a16="http://schemas.microsoft.com/office/drawing/2014/main" id="{80BA59DB-A173-4170-B7B8-606E1640A4CB}"/>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399" name="Text Box 11">
          <a:extLst>
            <a:ext uri="{FF2B5EF4-FFF2-40B4-BE49-F238E27FC236}">
              <a16:creationId xmlns="" xmlns:a16="http://schemas.microsoft.com/office/drawing/2014/main" id="{1BAC38EC-CB11-4918-B41A-6E149B72296C}"/>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400" name="Text Box 12">
          <a:extLst>
            <a:ext uri="{FF2B5EF4-FFF2-40B4-BE49-F238E27FC236}">
              <a16:creationId xmlns="" xmlns:a16="http://schemas.microsoft.com/office/drawing/2014/main" id="{008BD50D-EB69-4DA5-B6B1-F7FFD9A3CB84}"/>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401" name="Text Box 10">
          <a:extLst>
            <a:ext uri="{FF2B5EF4-FFF2-40B4-BE49-F238E27FC236}">
              <a16:creationId xmlns="" xmlns:a16="http://schemas.microsoft.com/office/drawing/2014/main" id="{4F021E98-F3EB-4F14-AC59-D74169FFF946}"/>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402" name="Text Box 11">
          <a:extLst>
            <a:ext uri="{FF2B5EF4-FFF2-40B4-BE49-F238E27FC236}">
              <a16:creationId xmlns="" xmlns:a16="http://schemas.microsoft.com/office/drawing/2014/main" id="{8EE4A504-6C32-4748-A992-4201E1C450F8}"/>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403" name="Text Box 12">
          <a:extLst>
            <a:ext uri="{FF2B5EF4-FFF2-40B4-BE49-F238E27FC236}">
              <a16:creationId xmlns="" xmlns:a16="http://schemas.microsoft.com/office/drawing/2014/main" id="{10BA5EB6-C498-4D6A-902F-F212BFB161E5}"/>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404" name="Text Box 10">
          <a:extLst>
            <a:ext uri="{FF2B5EF4-FFF2-40B4-BE49-F238E27FC236}">
              <a16:creationId xmlns="" xmlns:a16="http://schemas.microsoft.com/office/drawing/2014/main" id="{7701AADF-F81B-4029-AB6A-82C24B521039}"/>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405" name="Text Box 11">
          <a:extLst>
            <a:ext uri="{FF2B5EF4-FFF2-40B4-BE49-F238E27FC236}">
              <a16:creationId xmlns="" xmlns:a16="http://schemas.microsoft.com/office/drawing/2014/main" id="{88BB521F-92E1-4B7D-84E4-DFCFBE024CF9}"/>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406" name="Text Box 12">
          <a:extLst>
            <a:ext uri="{FF2B5EF4-FFF2-40B4-BE49-F238E27FC236}">
              <a16:creationId xmlns="" xmlns:a16="http://schemas.microsoft.com/office/drawing/2014/main" id="{863BF3B4-F5DF-42B8-85FD-62D4F786FA82}"/>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407" name="Text Box 10">
          <a:extLst>
            <a:ext uri="{FF2B5EF4-FFF2-40B4-BE49-F238E27FC236}">
              <a16:creationId xmlns="" xmlns:a16="http://schemas.microsoft.com/office/drawing/2014/main" id="{F3AAB66E-1C7B-4DDB-AFAE-01A083488721}"/>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408" name="Text Box 11">
          <a:extLst>
            <a:ext uri="{FF2B5EF4-FFF2-40B4-BE49-F238E27FC236}">
              <a16:creationId xmlns="" xmlns:a16="http://schemas.microsoft.com/office/drawing/2014/main" id="{0CBF11E2-706E-4445-B8BD-D2EA1C9A5C11}"/>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409" name="Text Box 12">
          <a:extLst>
            <a:ext uri="{FF2B5EF4-FFF2-40B4-BE49-F238E27FC236}">
              <a16:creationId xmlns="" xmlns:a16="http://schemas.microsoft.com/office/drawing/2014/main" id="{3885029B-A5FF-445E-A6AB-F50A4F3DA7DB}"/>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410" name="Text Box 10">
          <a:extLst>
            <a:ext uri="{FF2B5EF4-FFF2-40B4-BE49-F238E27FC236}">
              <a16:creationId xmlns="" xmlns:a16="http://schemas.microsoft.com/office/drawing/2014/main" id="{190D8DAF-441E-42E8-BC25-018941004CDA}"/>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411" name="Text Box 11">
          <a:extLst>
            <a:ext uri="{FF2B5EF4-FFF2-40B4-BE49-F238E27FC236}">
              <a16:creationId xmlns="" xmlns:a16="http://schemas.microsoft.com/office/drawing/2014/main" id="{B73C0B1F-551E-4C9F-9B5F-718594C9EBAC}"/>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412" name="Text Box 12">
          <a:extLst>
            <a:ext uri="{FF2B5EF4-FFF2-40B4-BE49-F238E27FC236}">
              <a16:creationId xmlns="" xmlns:a16="http://schemas.microsoft.com/office/drawing/2014/main" id="{F5E58DDE-A55A-4547-9854-B44634E358D0}"/>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413" name="Text Box 10">
          <a:extLst>
            <a:ext uri="{FF2B5EF4-FFF2-40B4-BE49-F238E27FC236}">
              <a16:creationId xmlns="" xmlns:a16="http://schemas.microsoft.com/office/drawing/2014/main" id="{BD16346E-4A15-41B6-B905-22477C5A1A26}"/>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414" name="Text Box 11">
          <a:extLst>
            <a:ext uri="{FF2B5EF4-FFF2-40B4-BE49-F238E27FC236}">
              <a16:creationId xmlns="" xmlns:a16="http://schemas.microsoft.com/office/drawing/2014/main" id="{D28D8929-32F3-41FC-A87A-734A3C963157}"/>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415" name="Text Box 12">
          <a:extLst>
            <a:ext uri="{FF2B5EF4-FFF2-40B4-BE49-F238E27FC236}">
              <a16:creationId xmlns="" xmlns:a16="http://schemas.microsoft.com/office/drawing/2014/main" id="{8CC7E6B4-4DDE-462B-ACF7-45E43FE2DF0F}"/>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416" name="Text Box 10">
          <a:extLst>
            <a:ext uri="{FF2B5EF4-FFF2-40B4-BE49-F238E27FC236}">
              <a16:creationId xmlns="" xmlns:a16="http://schemas.microsoft.com/office/drawing/2014/main" id="{48A8FD44-F8BD-4033-9AFD-FD7282B43E99}"/>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417" name="Text Box 11">
          <a:extLst>
            <a:ext uri="{FF2B5EF4-FFF2-40B4-BE49-F238E27FC236}">
              <a16:creationId xmlns="" xmlns:a16="http://schemas.microsoft.com/office/drawing/2014/main" id="{75A9EFA9-A73C-45A7-A836-0103DCFDBB9B}"/>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418" name="Text Box 12">
          <a:extLst>
            <a:ext uri="{FF2B5EF4-FFF2-40B4-BE49-F238E27FC236}">
              <a16:creationId xmlns="" xmlns:a16="http://schemas.microsoft.com/office/drawing/2014/main" id="{7CD94A39-1994-43E3-AA49-B7D837304070}"/>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419" name="Text Box 10">
          <a:extLst>
            <a:ext uri="{FF2B5EF4-FFF2-40B4-BE49-F238E27FC236}">
              <a16:creationId xmlns="" xmlns:a16="http://schemas.microsoft.com/office/drawing/2014/main" id="{501377DB-76FD-451C-99E5-00E7518B2026}"/>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420" name="Text Box 11">
          <a:extLst>
            <a:ext uri="{FF2B5EF4-FFF2-40B4-BE49-F238E27FC236}">
              <a16:creationId xmlns="" xmlns:a16="http://schemas.microsoft.com/office/drawing/2014/main" id="{849C8D75-5F8F-4BDB-B8D5-03DC9B79409D}"/>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421" name="Text Box 12">
          <a:extLst>
            <a:ext uri="{FF2B5EF4-FFF2-40B4-BE49-F238E27FC236}">
              <a16:creationId xmlns="" xmlns:a16="http://schemas.microsoft.com/office/drawing/2014/main" id="{D1144AE4-B1ED-409F-9E71-0E4EDAC12798}"/>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422" name="Text Box 10">
          <a:extLst>
            <a:ext uri="{FF2B5EF4-FFF2-40B4-BE49-F238E27FC236}">
              <a16:creationId xmlns="" xmlns:a16="http://schemas.microsoft.com/office/drawing/2014/main" id="{633E5CA2-5578-458D-8CEC-AA5C4B6D37EB}"/>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423" name="Text Box 11">
          <a:extLst>
            <a:ext uri="{FF2B5EF4-FFF2-40B4-BE49-F238E27FC236}">
              <a16:creationId xmlns="" xmlns:a16="http://schemas.microsoft.com/office/drawing/2014/main" id="{19BC8F26-02E5-44E2-B708-BA1241CE146D}"/>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424" name="Text Box 12">
          <a:extLst>
            <a:ext uri="{FF2B5EF4-FFF2-40B4-BE49-F238E27FC236}">
              <a16:creationId xmlns="" xmlns:a16="http://schemas.microsoft.com/office/drawing/2014/main" id="{1C1FC287-DF10-470C-B156-BD5CE3899C3B}"/>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425" name="Text Box 10">
          <a:extLst>
            <a:ext uri="{FF2B5EF4-FFF2-40B4-BE49-F238E27FC236}">
              <a16:creationId xmlns="" xmlns:a16="http://schemas.microsoft.com/office/drawing/2014/main" id="{7A5FB6E1-551E-424C-841B-3C7DE5D6D224}"/>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426" name="Text Box 11">
          <a:extLst>
            <a:ext uri="{FF2B5EF4-FFF2-40B4-BE49-F238E27FC236}">
              <a16:creationId xmlns="" xmlns:a16="http://schemas.microsoft.com/office/drawing/2014/main" id="{6C24CBDD-729F-45E3-BFE9-21831A2306D2}"/>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427" name="Text Box 12">
          <a:extLst>
            <a:ext uri="{FF2B5EF4-FFF2-40B4-BE49-F238E27FC236}">
              <a16:creationId xmlns="" xmlns:a16="http://schemas.microsoft.com/office/drawing/2014/main" id="{A77EDC27-2F31-4F32-9B33-9CD9C3E1A7B9}"/>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428" name="Text Box 10">
          <a:extLst>
            <a:ext uri="{FF2B5EF4-FFF2-40B4-BE49-F238E27FC236}">
              <a16:creationId xmlns="" xmlns:a16="http://schemas.microsoft.com/office/drawing/2014/main" id="{573529ED-AEA5-420E-BE20-A94F79F0D3D9}"/>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429" name="Text Box 11">
          <a:extLst>
            <a:ext uri="{FF2B5EF4-FFF2-40B4-BE49-F238E27FC236}">
              <a16:creationId xmlns="" xmlns:a16="http://schemas.microsoft.com/office/drawing/2014/main" id="{8995C718-B3AB-45D8-90EE-ECC9C70E1545}"/>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430" name="Text Box 12">
          <a:extLst>
            <a:ext uri="{FF2B5EF4-FFF2-40B4-BE49-F238E27FC236}">
              <a16:creationId xmlns="" xmlns:a16="http://schemas.microsoft.com/office/drawing/2014/main" id="{A5F9BE56-85DE-42CB-A8EB-B678E328835E}"/>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431" name="Text Box 10">
          <a:extLst>
            <a:ext uri="{FF2B5EF4-FFF2-40B4-BE49-F238E27FC236}">
              <a16:creationId xmlns="" xmlns:a16="http://schemas.microsoft.com/office/drawing/2014/main" id="{3471252D-B8C1-475C-9032-23F2C900BD96}"/>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432" name="Text Box 11">
          <a:extLst>
            <a:ext uri="{FF2B5EF4-FFF2-40B4-BE49-F238E27FC236}">
              <a16:creationId xmlns="" xmlns:a16="http://schemas.microsoft.com/office/drawing/2014/main" id="{CAFB31C9-4525-47C3-91D1-F21BDFBF52A1}"/>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433" name="Text Box 12">
          <a:extLst>
            <a:ext uri="{FF2B5EF4-FFF2-40B4-BE49-F238E27FC236}">
              <a16:creationId xmlns="" xmlns:a16="http://schemas.microsoft.com/office/drawing/2014/main" id="{E2776B61-8EB3-4513-8C91-C257AFB25A42}"/>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434" name="Text Box 10">
          <a:extLst>
            <a:ext uri="{FF2B5EF4-FFF2-40B4-BE49-F238E27FC236}">
              <a16:creationId xmlns="" xmlns:a16="http://schemas.microsoft.com/office/drawing/2014/main" id="{44912715-21A2-436E-8672-3EE38AE293D7}"/>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435" name="Text Box 11">
          <a:extLst>
            <a:ext uri="{FF2B5EF4-FFF2-40B4-BE49-F238E27FC236}">
              <a16:creationId xmlns="" xmlns:a16="http://schemas.microsoft.com/office/drawing/2014/main" id="{E7970BDA-0ED1-4629-B243-970A2443EBA7}"/>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436" name="Text Box 12">
          <a:extLst>
            <a:ext uri="{FF2B5EF4-FFF2-40B4-BE49-F238E27FC236}">
              <a16:creationId xmlns="" xmlns:a16="http://schemas.microsoft.com/office/drawing/2014/main" id="{09E41228-6208-4FBB-9453-1499A56B7DF5}"/>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437" name="Text Box 10">
          <a:extLst>
            <a:ext uri="{FF2B5EF4-FFF2-40B4-BE49-F238E27FC236}">
              <a16:creationId xmlns="" xmlns:a16="http://schemas.microsoft.com/office/drawing/2014/main" id="{BE8F8124-7B8F-4577-B5AE-8340DAB388DC}"/>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438" name="Text Box 11">
          <a:extLst>
            <a:ext uri="{FF2B5EF4-FFF2-40B4-BE49-F238E27FC236}">
              <a16:creationId xmlns="" xmlns:a16="http://schemas.microsoft.com/office/drawing/2014/main" id="{94EB9F44-BC58-4B46-9FB7-8E194C1ED33E}"/>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24</xdr:row>
      <xdr:rowOff>0</xdr:rowOff>
    </xdr:from>
    <xdr:to>
      <xdr:col>2</xdr:col>
      <xdr:colOff>104775</xdr:colOff>
      <xdr:row>32</xdr:row>
      <xdr:rowOff>73666</xdr:rowOff>
    </xdr:to>
    <xdr:sp macro="" textlink="">
      <xdr:nvSpPr>
        <xdr:cNvPr id="439" name="Text Box 12">
          <a:extLst>
            <a:ext uri="{FF2B5EF4-FFF2-40B4-BE49-F238E27FC236}">
              <a16:creationId xmlns="" xmlns:a16="http://schemas.microsoft.com/office/drawing/2014/main" id="{61C5D715-DF71-4367-BDBD-8319701968DD}"/>
            </a:ext>
          </a:extLst>
        </xdr:cNvPr>
        <xdr:cNvSpPr txBox="1">
          <a:spLocks noChangeArrowheads="1"/>
        </xdr:cNvSpPr>
      </xdr:nvSpPr>
      <xdr:spPr bwMode="auto">
        <a:xfrm>
          <a:off x="431482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85725</xdr:colOff>
      <xdr:row>28</xdr:row>
      <xdr:rowOff>42557</xdr:rowOff>
    </xdr:to>
    <xdr:sp macro="" textlink="">
      <xdr:nvSpPr>
        <xdr:cNvPr id="440" name="Text Box 10">
          <a:extLst>
            <a:ext uri="{FF2B5EF4-FFF2-40B4-BE49-F238E27FC236}">
              <a16:creationId xmlns="" xmlns:a16="http://schemas.microsoft.com/office/drawing/2014/main" id="{422EB5BF-3850-41D4-947B-129BFC54ABCE}"/>
            </a:ext>
          </a:extLst>
        </xdr:cNvPr>
        <xdr:cNvSpPr txBox="1">
          <a:spLocks noChangeArrowheads="1"/>
        </xdr:cNvSpPr>
      </xdr:nvSpPr>
      <xdr:spPr bwMode="auto">
        <a:xfrm>
          <a:off x="4314825" y="13896975"/>
          <a:ext cx="76200" cy="1566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85725</xdr:colOff>
      <xdr:row>28</xdr:row>
      <xdr:rowOff>42557</xdr:rowOff>
    </xdr:to>
    <xdr:sp macro="" textlink="">
      <xdr:nvSpPr>
        <xdr:cNvPr id="441" name="Text Box 11">
          <a:extLst>
            <a:ext uri="{FF2B5EF4-FFF2-40B4-BE49-F238E27FC236}">
              <a16:creationId xmlns="" xmlns:a16="http://schemas.microsoft.com/office/drawing/2014/main" id="{53678C06-DEAE-41DE-88A0-515E131DE35F}"/>
            </a:ext>
          </a:extLst>
        </xdr:cNvPr>
        <xdr:cNvSpPr txBox="1">
          <a:spLocks noChangeArrowheads="1"/>
        </xdr:cNvSpPr>
      </xdr:nvSpPr>
      <xdr:spPr bwMode="auto">
        <a:xfrm>
          <a:off x="4314825" y="13896975"/>
          <a:ext cx="76200" cy="1566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85725</xdr:colOff>
      <xdr:row>28</xdr:row>
      <xdr:rowOff>42557</xdr:rowOff>
    </xdr:to>
    <xdr:sp macro="" textlink="">
      <xdr:nvSpPr>
        <xdr:cNvPr id="442" name="Text Box 12">
          <a:extLst>
            <a:ext uri="{FF2B5EF4-FFF2-40B4-BE49-F238E27FC236}">
              <a16:creationId xmlns="" xmlns:a16="http://schemas.microsoft.com/office/drawing/2014/main" id="{1D651A16-7107-44EF-BA01-F38F33034BB1}"/>
            </a:ext>
          </a:extLst>
        </xdr:cNvPr>
        <xdr:cNvSpPr txBox="1">
          <a:spLocks noChangeArrowheads="1"/>
        </xdr:cNvSpPr>
      </xdr:nvSpPr>
      <xdr:spPr bwMode="auto">
        <a:xfrm>
          <a:off x="4314825" y="13896975"/>
          <a:ext cx="76200" cy="1566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85725</xdr:colOff>
      <xdr:row>28</xdr:row>
      <xdr:rowOff>42557</xdr:rowOff>
    </xdr:to>
    <xdr:sp macro="" textlink="">
      <xdr:nvSpPr>
        <xdr:cNvPr id="443" name="Text Box 10">
          <a:extLst>
            <a:ext uri="{FF2B5EF4-FFF2-40B4-BE49-F238E27FC236}">
              <a16:creationId xmlns="" xmlns:a16="http://schemas.microsoft.com/office/drawing/2014/main" id="{21356E9D-B705-413F-990D-B438C5EED79B}"/>
            </a:ext>
          </a:extLst>
        </xdr:cNvPr>
        <xdr:cNvSpPr txBox="1">
          <a:spLocks noChangeArrowheads="1"/>
        </xdr:cNvSpPr>
      </xdr:nvSpPr>
      <xdr:spPr bwMode="auto">
        <a:xfrm>
          <a:off x="4314825" y="13896975"/>
          <a:ext cx="76200" cy="1566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85725</xdr:colOff>
      <xdr:row>28</xdr:row>
      <xdr:rowOff>42557</xdr:rowOff>
    </xdr:to>
    <xdr:sp macro="" textlink="">
      <xdr:nvSpPr>
        <xdr:cNvPr id="444" name="Text Box 11">
          <a:extLst>
            <a:ext uri="{FF2B5EF4-FFF2-40B4-BE49-F238E27FC236}">
              <a16:creationId xmlns="" xmlns:a16="http://schemas.microsoft.com/office/drawing/2014/main" id="{CD2E07DB-FD67-471E-920B-43C0F4BBAB45}"/>
            </a:ext>
          </a:extLst>
        </xdr:cNvPr>
        <xdr:cNvSpPr txBox="1">
          <a:spLocks noChangeArrowheads="1"/>
        </xdr:cNvSpPr>
      </xdr:nvSpPr>
      <xdr:spPr bwMode="auto">
        <a:xfrm>
          <a:off x="4314825" y="13896975"/>
          <a:ext cx="76200" cy="1566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85725</xdr:colOff>
      <xdr:row>28</xdr:row>
      <xdr:rowOff>42557</xdr:rowOff>
    </xdr:to>
    <xdr:sp macro="" textlink="">
      <xdr:nvSpPr>
        <xdr:cNvPr id="445" name="Text Box 12">
          <a:extLst>
            <a:ext uri="{FF2B5EF4-FFF2-40B4-BE49-F238E27FC236}">
              <a16:creationId xmlns="" xmlns:a16="http://schemas.microsoft.com/office/drawing/2014/main" id="{6138F4E3-64C2-4292-9FE0-6FD4CDE5BD97}"/>
            </a:ext>
          </a:extLst>
        </xdr:cNvPr>
        <xdr:cNvSpPr txBox="1">
          <a:spLocks noChangeArrowheads="1"/>
        </xdr:cNvSpPr>
      </xdr:nvSpPr>
      <xdr:spPr bwMode="auto">
        <a:xfrm>
          <a:off x="4314825" y="13896975"/>
          <a:ext cx="76200" cy="1566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446" name="Text Box 10">
          <a:extLst>
            <a:ext uri="{FF2B5EF4-FFF2-40B4-BE49-F238E27FC236}">
              <a16:creationId xmlns="" xmlns:a16="http://schemas.microsoft.com/office/drawing/2014/main" id="{F7079F22-2AD7-47B5-BC21-F4275AD4549D}"/>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447" name="Text Box 11">
          <a:extLst>
            <a:ext uri="{FF2B5EF4-FFF2-40B4-BE49-F238E27FC236}">
              <a16:creationId xmlns="" xmlns:a16="http://schemas.microsoft.com/office/drawing/2014/main" id="{162CF7F4-EE6A-4545-9716-BF215D45408D}"/>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448" name="Text Box 12">
          <a:extLst>
            <a:ext uri="{FF2B5EF4-FFF2-40B4-BE49-F238E27FC236}">
              <a16:creationId xmlns="" xmlns:a16="http://schemas.microsoft.com/office/drawing/2014/main" id="{72EBBF25-A0CB-429C-816F-4E8BAD5F8C07}"/>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85725</xdr:colOff>
      <xdr:row>28</xdr:row>
      <xdr:rowOff>42557</xdr:rowOff>
    </xdr:to>
    <xdr:sp macro="" textlink="">
      <xdr:nvSpPr>
        <xdr:cNvPr id="449" name="Text Box 10">
          <a:extLst>
            <a:ext uri="{FF2B5EF4-FFF2-40B4-BE49-F238E27FC236}">
              <a16:creationId xmlns="" xmlns:a16="http://schemas.microsoft.com/office/drawing/2014/main" id="{14C07598-21A5-4680-92BA-72BEF18AACD0}"/>
            </a:ext>
          </a:extLst>
        </xdr:cNvPr>
        <xdr:cNvSpPr txBox="1">
          <a:spLocks noChangeArrowheads="1"/>
        </xdr:cNvSpPr>
      </xdr:nvSpPr>
      <xdr:spPr bwMode="auto">
        <a:xfrm>
          <a:off x="4314825" y="13896975"/>
          <a:ext cx="76200" cy="1566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85725</xdr:colOff>
      <xdr:row>28</xdr:row>
      <xdr:rowOff>42557</xdr:rowOff>
    </xdr:to>
    <xdr:sp macro="" textlink="">
      <xdr:nvSpPr>
        <xdr:cNvPr id="450" name="Text Box 11">
          <a:extLst>
            <a:ext uri="{FF2B5EF4-FFF2-40B4-BE49-F238E27FC236}">
              <a16:creationId xmlns="" xmlns:a16="http://schemas.microsoft.com/office/drawing/2014/main" id="{F2E743BE-7D1C-4B6D-947A-7A7AFE373AE0}"/>
            </a:ext>
          </a:extLst>
        </xdr:cNvPr>
        <xdr:cNvSpPr txBox="1">
          <a:spLocks noChangeArrowheads="1"/>
        </xdr:cNvSpPr>
      </xdr:nvSpPr>
      <xdr:spPr bwMode="auto">
        <a:xfrm>
          <a:off x="4314825" y="13896975"/>
          <a:ext cx="76200" cy="1566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85725</xdr:colOff>
      <xdr:row>28</xdr:row>
      <xdr:rowOff>42557</xdr:rowOff>
    </xdr:to>
    <xdr:sp macro="" textlink="">
      <xdr:nvSpPr>
        <xdr:cNvPr id="451" name="Text Box 12">
          <a:extLst>
            <a:ext uri="{FF2B5EF4-FFF2-40B4-BE49-F238E27FC236}">
              <a16:creationId xmlns="" xmlns:a16="http://schemas.microsoft.com/office/drawing/2014/main" id="{4D34831C-12A8-4619-9AE5-A4F6F402B089}"/>
            </a:ext>
          </a:extLst>
        </xdr:cNvPr>
        <xdr:cNvSpPr txBox="1">
          <a:spLocks noChangeArrowheads="1"/>
        </xdr:cNvSpPr>
      </xdr:nvSpPr>
      <xdr:spPr bwMode="auto">
        <a:xfrm>
          <a:off x="4314825" y="13896975"/>
          <a:ext cx="76200" cy="1566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452" name="Text Box 10">
          <a:extLst>
            <a:ext uri="{FF2B5EF4-FFF2-40B4-BE49-F238E27FC236}">
              <a16:creationId xmlns="" xmlns:a16="http://schemas.microsoft.com/office/drawing/2014/main" id="{1D5F4FD9-E256-44E9-A892-8EAE7707235B}"/>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453" name="Text Box 11">
          <a:extLst>
            <a:ext uri="{FF2B5EF4-FFF2-40B4-BE49-F238E27FC236}">
              <a16:creationId xmlns="" xmlns:a16="http://schemas.microsoft.com/office/drawing/2014/main" id="{3E605BFA-1872-45EA-995A-FDACF32AD09D}"/>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454" name="Text Box 12">
          <a:extLst>
            <a:ext uri="{FF2B5EF4-FFF2-40B4-BE49-F238E27FC236}">
              <a16:creationId xmlns="" xmlns:a16="http://schemas.microsoft.com/office/drawing/2014/main" id="{1A323E7C-493F-46A5-887B-D180BF0D6BA2}"/>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85725</xdr:colOff>
      <xdr:row>28</xdr:row>
      <xdr:rowOff>42557</xdr:rowOff>
    </xdr:to>
    <xdr:sp macro="" textlink="">
      <xdr:nvSpPr>
        <xdr:cNvPr id="455" name="Text Box 10">
          <a:extLst>
            <a:ext uri="{FF2B5EF4-FFF2-40B4-BE49-F238E27FC236}">
              <a16:creationId xmlns="" xmlns:a16="http://schemas.microsoft.com/office/drawing/2014/main" id="{62187076-5170-440B-9C11-0ECEBB7C0B64}"/>
            </a:ext>
          </a:extLst>
        </xdr:cNvPr>
        <xdr:cNvSpPr txBox="1">
          <a:spLocks noChangeArrowheads="1"/>
        </xdr:cNvSpPr>
      </xdr:nvSpPr>
      <xdr:spPr bwMode="auto">
        <a:xfrm>
          <a:off x="4314825" y="13896975"/>
          <a:ext cx="76200" cy="1566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85725</xdr:colOff>
      <xdr:row>28</xdr:row>
      <xdr:rowOff>42557</xdr:rowOff>
    </xdr:to>
    <xdr:sp macro="" textlink="">
      <xdr:nvSpPr>
        <xdr:cNvPr id="456" name="Text Box 11">
          <a:extLst>
            <a:ext uri="{FF2B5EF4-FFF2-40B4-BE49-F238E27FC236}">
              <a16:creationId xmlns="" xmlns:a16="http://schemas.microsoft.com/office/drawing/2014/main" id="{D8572CFB-A9C6-43B0-A023-77EA6FD63612}"/>
            </a:ext>
          </a:extLst>
        </xdr:cNvPr>
        <xdr:cNvSpPr txBox="1">
          <a:spLocks noChangeArrowheads="1"/>
        </xdr:cNvSpPr>
      </xdr:nvSpPr>
      <xdr:spPr bwMode="auto">
        <a:xfrm>
          <a:off x="4314825" y="13896975"/>
          <a:ext cx="76200" cy="1566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85725</xdr:colOff>
      <xdr:row>28</xdr:row>
      <xdr:rowOff>42557</xdr:rowOff>
    </xdr:to>
    <xdr:sp macro="" textlink="">
      <xdr:nvSpPr>
        <xdr:cNvPr id="457" name="Text Box 12">
          <a:extLst>
            <a:ext uri="{FF2B5EF4-FFF2-40B4-BE49-F238E27FC236}">
              <a16:creationId xmlns="" xmlns:a16="http://schemas.microsoft.com/office/drawing/2014/main" id="{04FE8639-5763-450C-914C-2E779E18296D}"/>
            </a:ext>
          </a:extLst>
        </xdr:cNvPr>
        <xdr:cNvSpPr txBox="1">
          <a:spLocks noChangeArrowheads="1"/>
        </xdr:cNvSpPr>
      </xdr:nvSpPr>
      <xdr:spPr bwMode="auto">
        <a:xfrm>
          <a:off x="4314825" y="13896975"/>
          <a:ext cx="76200" cy="1566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458" name="Text Box 10">
          <a:extLst>
            <a:ext uri="{FF2B5EF4-FFF2-40B4-BE49-F238E27FC236}">
              <a16:creationId xmlns="" xmlns:a16="http://schemas.microsoft.com/office/drawing/2014/main" id="{96173FF4-48D5-41A6-B319-86E7DC1B3936}"/>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459" name="Text Box 11">
          <a:extLst>
            <a:ext uri="{FF2B5EF4-FFF2-40B4-BE49-F238E27FC236}">
              <a16:creationId xmlns="" xmlns:a16="http://schemas.microsoft.com/office/drawing/2014/main" id="{615F5A5C-9C5B-4EE4-985D-082601536D1C}"/>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460" name="Text Box 12">
          <a:extLst>
            <a:ext uri="{FF2B5EF4-FFF2-40B4-BE49-F238E27FC236}">
              <a16:creationId xmlns="" xmlns:a16="http://schemas.microsoft.com/office/drawing/2014/main" id="{EED1B9AC-2FBE-4F65-9646-35DEDCD1BAD6}"/>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461" name="Text Box 10">
          <a:extLst>
            <a:ext uri="{FF2B5EF4-FFF2-40B4-BE49-F238E27FC236}">
              <a16:creationId xmlns="" xmlns:a16="http://schemas.microsoft.com/office/drawing/2014/main" id="{FD3B3C1B-EB54-4EB7-A5F4-40E40B4C56A5}"/>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462" name="Text Box 11">
          <a:extLst>
            <a:ext uri="{FF2B5EF4-FFF2-40B4-BE49-F238E27FC236}">
              <a16:creationId xmlns="" xmlns:a16="http://schemas.microsoft.com/office/drawing/2014/main" id="{D91A6018-20BC-4375-961A-E94A69B263EC}"/>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463" name="Text Box 12">
          <a:extLst>
            <a:ext uri="{FF2B5EF4-FFF2-40B4-BE49-F238E27FC236}">
              <a16:creationId xmlns="" xmlns:a16="http://schemas.microsoft.com/office/drawing/2014/main" id="{39C26E53-801D-4C19-95AE-66C61D2B6375}"/>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464" name="Text Box 10">
          <a:extLst>
            <a:ext uri="{FF2B5EF4-FFF2-40B4-BE49-F238E27FC236}">
              <a16:creationId xmlns="" xmlns:a16="http://schemas.microsoft.com/office/drawing/2014/main" id="{AE4C70DC-9EA9-44BD-AC67-190BFAC9F8A8}"/>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465" name="Text Box 11">
          <a:extLst>
            <a:ext uri="{FF2B5EF4-FFF2-40B4-BE49-F238E27FC236}">
              <a16:creationId xmlns="" xmlns:a16="http://schemas.microsoft.com/office/drawing/2014/main" id="{CE859D47-E1D0-4699-B112-3F07566242B4}"/>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466" name="Text Box 12">
          <a:extLst>
            <a:ext uri="{FF2B5EF4-FFF2-40B4-BE49-F238E27FC236}">
              <a16:creationId xmlns="" xmlns:a16="http://schemas.microsoft.com/office/drawing/2014/main" id="{B6974A4E-D52F-4907-8D38-9FC38DB46255}"/>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85725</xdr:colOff>
      <xdr:row>28</xdr:row>
      <xdr:rowOff>42557</xdr:rowOff>
    </xdr:to>
    <xdr:sp macro="" textlink="">
      <xdr:nvSpPr>
        <xdr:cNvPr id="467" name="Text Box 10">
          <a:extLst>
            <a:ext uri="{FF2B5EF4-FFF2-40B4-BE49-F238E27FC236}">
              <a16:creationId xmlns="" xmlns:a16="http://schemas.microsoft.com/office/drawing/2014/main" id="{9603025C-2F63-49B7-9B14-44F90477C2C6}"/>
            </a:ext>
          </a:extLst>
        </xdr:cNvPr>
        <xdr:cNvSpPr txBox="1">
          <a:spLocks noChangeArrowheads="1"/>
        </xdr:cNvSpPr>
      </xdr:nvSpPr>
      <xdr:spPr bwMode="auto">
        <a:xfrm>
          <a:off x="4314825" y="13896975"/>
          <a:ext cx="76200" cy="1566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85725</xdr:colOff>
      <xdr:row>28</xdr:row>
      <xdr:rowOff>42557</xdr:rowOff>
    </xdr:to>
    <xdr:sp macro="" textlink="">
      <xdr:nvSpPr>
        <xdr:cNvPr id="468" name="Text Box 11">
          <a:extLst>
            <a:ext uri="{FF2B5EF4-FFF2-40B4-BE49-F238E27FC236}">
              <a16:creationId xmlns="" xmlns:a16="http://schemas.microsoft.com/office/drawing/2014/main" id="{4AC56FC4-5561-48DC-B427-A284E7FB31C0}"/>
            </a:ext>
          </a:extLst>
        </xdr:cNvPr>
        <xdr:cNvSpPr txBox="1">
          <a:spLocks noChangeArrowheads="1"/>
        </xdr:cNvSpPr>
      </xdr:nvSpPr>
      <xdr:spPr bwMode="auto">
        <a:xfrm>
          <a:off x="4314825" y="13896975"/>
          <a:ext cx="76200" cy="1566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85725</xdr:colOff>
      <xdr:row>28</xdr:row>
      <xdr:rowOff>42557</xdr:rowOff>
    </xdr:to>
    <xdr:sp macro="" textlink="">
      <xdr:nvSpPr>
        <xdr:cNvPr id="469" name="Text Box 12">
          <a:extLst>
            <a:ext uri="{FF2B5EF4-FFF2-40B4-BE49-F238E27FC236}">
              <a16:creationId xmlns="" xmlns:a16="http://schemas.microsoft.com/office/drawing/2014/main" id="{53BFEEFA-09CD-4913-B148-D8029BC49FBA}"/>
            </a:ext>
          </a:extLst>
        </xdr:cNvPr>
        <xdr:cNvSpPr txBox="1">
          <a:spLocks noChangeArrowheads="1"/>
        </xdr:cNvSpPr>
      </xdr:nvSpPr>
      <xdr:spPr bwMode="auto">
        <a:xfrm>
          <a:off x="4314825" y="13896975"/>
          <a:ext cx="76200" cy="1566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470" name="Text Box 10">
          <a:extLst>
            <a:ext uri="{FF2B5EF4-FFF2-40B4-BE49-F238E27FC236}">
              <a16:creationId xmlns="" xmlns:a16="http://schemas.microsoft.com/office/drawing/2014/main" id="{F27D3ADE-AA39-40D5-B18F-A0D4BD08E005}"/>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471" name="Text Box 11">
          <a:extLst>
            <a:ext uri="{FF2B5EF4-FFF2-40B4-BE49-F238E27FC236}">
              <a16:creationId xmlns="" xmlns:a16="http://schemas.microsoft.com/office/drawing/2014/main" id="{9DBF9213-1887-4CFB-92A1-4F40CC4FB2FC}"/>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472" name="Text Box 12">
          <a:extLst>
            <a:ext uri="{FF2B5EF4-FFF2-40B4-BE49-F238E27FC236}">
              <a16:creationId xmlns="" xmlns:a16="http://schemas.microsoft.com/office/drawing/2014/main" id="{E378F504-0D80-469D-8AD5-FB425DBDD96F}"/>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85725</xdr:colOff>
      <xdr:row>28</xdr:row>
      <xdr:rowOff>42557</xdr:rowOff>
    </xdr:to>
    <xdr:sp macro="" textlink="">
      <xdr:nvSpPr>
        <xdr:cNvPr id="473" name="Text Box 10">
          <a:extLst>
            <a:ext uri="{FF2B5EF4-FFF2-40B4-BE49-F238E27FC236}">
              <a16:creationId xmlns="" xmlns:a16="http://schemas.microsoft.com/office/drawing/2014/main" id="{9FAF9827-DF5E-47E7-9BE9-A05E55F84205}"/>
            </a:ext>
          </a:extLst>
        </xdr:cNvPr>
        <xdr:cNvSpPr txBox="1">
          <a:spLocks noChangeArrowheads="1"/>
        </xdr:cNvSpPr>
      </xdr:nvSpPr>
      <xdr:spPr bwMode="auto">
        <a:xfrm>
          <a:off x="4314825" y="13896975"/>
          <a:ext cx="76200" cy="1566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85725</xdr:colOff>
      <xdr:row>28</xdr:row>
      <xdr:rowOff>42557</xdr:rowOff>
    </xdr:to>
    <xdr:sp macro="" textlink="">
      <xdr:nvSpPr>
        <xdr:cNvPr id="474" name="Text Box 11">
          <a:extLst>
            <a:ext uri="{FF2B5EF4-FFF2-40B4-BE49-F238E27FC236}">
              <a16:creationId xmlns="" xmlns:a16="http://schemas.microsoft.com/office/drawing/2014/main" id="{2361D6BE-A36E-4866-B5C9-3CB16EC22A22}"/>
            </a:ext>
          </a:extLst>
        </xdr:cNvPr>
        <xdr:cNvSpPr txBox="1">
          <a:spLocks noChangeArrowheads="1"/>
        </xdr:cNvSpPr>
      </xdr:nvSpPr>
      <xdr:spPr bwMode="auto">
        <a:xfrm>
          <a:off x="4314825" y="13896975"/>
          <a:ext cx="76200" cy="1566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85725</xdr:colOff>
      <xdr:row>28</xdr:row>
      <xdr:rowOff>42557</xdr:rowOff>
    </xdr:to>
    <xdr:sp macro="" textlink="">
      <xdr:nvSpPr>
        <xdr:cNvPr id="475" name="Text Box 12">
          <a:extLst>
            <a:ext uri="{FF2B5EF4-FFF2-40B4-BE49-F238E27FC236}">
              <a16:creationId xmlns="" xmlns:a16="http://schemas.microsoft.com/office/drawing/2014/main" id="{5B93DBA4-FF31-4882-A2B2-7501B09706AF}"/>
            </a:ext>
          </a:extLst>
        </xdr:cNvPr>
        <xdr:cNvSpPr txBox="1">
          <a:spLocks noChangeArrowheads="1"/>
        </xdr:cNvSpPr>
      </xdr:nvSpPr>
      <xdr:spPr bwMode="auto">
        <a:xfrm>
          <a:off x="4314825" y="13896975"/>
          <a:ext cx="76200" cy="1566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476" name="Text Box 10">
          <a:extLst>
            <a:ext uri="{FF2B5EF4-FFF2-40B4-BE49-F238E27FC236}">
              <a16:creationId xmlns="" xmlns:a16="http://schemas.microsoft.com/office/drawing/2014/main" id="{05C5D879-8350-4FE1-AB8A-529F47717705}"/>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477" name="Text Box 11">
          <a:extLst>
            <a:ext uri="{FF2B5EF4-FFF2-40B4-BE49-F238E27FC236}">
              <a16:creationId xmlns="" xmlns:a16="http://schemas.microsoft.com/office/drawing/2014/main" id="{68A46D70-BD7C-4CDC-B001-32E8C59F8BB5}"/>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478" name="Text Box 12">
          <a:extLst>
            <a:ext uri="{FF2B5EF4-FFF2-40B4-BE49-F238E27FC236}">
              <a16:creationId xmlns="" xmlns:a16="http://schemas.microsoft.com/office/drawing/2014/main" id="{CD705B5E-5296-43D9-9094-F5FB451A3DF2}"/>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479" name="Text Box 10">
          <a:extLst>
            <a:ext uri="{FF2B5EF4-FFF2-40B4-BE49-F238E27FC236}">
              <a16:creationId xmlns="" xmlns:a16="http://schemas.microsoft.com/office/drawing/2014/main" id="{6DA95A8B-B765-47C9-AC54-EAFAE71BF34D}"/>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480" name="Text Box 11">
          <a:extLst>
            <a:ext uri="{FF2B5EF4-FFF2-40B4-BE49-F238E27FC236}">
              <a16:creationId xmlns="" xmlns:a16="http://schemas.microsoft.com/office/drawing/2014/main" id="{AA5DF9FE-F6A6-4BA7-AD66-C96CE633ED3C}"/>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481" name="Text Box 12">
          <a:extLst>
            <a:ext uri="{FF2B5EF4-FFF2-40B4-BE49-F238E27FC236}">
              <a16:creationId xmlns="" xmlns:a16="http://schemas.microsoft.com/office/drawing/2014/main" id="{346FBB10-F1DF-4151-A8B7-EFC0A3BD57F3}"/>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482" name="Text Box 10">
          <a:extLst>
            <a:ext uri="{FF2B5EF4-FFF2-40B4-BE49-F238E27FC236}">
              <a16:creationId xmlns="" xmlns:a16="http://schemas.microsoft.com/office/drawing/2014/main" id="{8B57BC97-86DA-4720-97C3-64078ED2DEA1}"/>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483" name="Text Box 11">
          <a:extLst>
            <a:ext uri="{FF2B5EF4-FFF2-40B4-BE49-F238E27FC236}">
              <a16:creationId xmlns="" xmlns:a16="http://schemas.microsoft.com/office/drawing/2014/main" id="{5A5DC2A2-9944-4FAF-9137-EF2D676C84B6}"/>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484" name="Text Box 12">
          <a:extLst>
            <a:ext uri="{FF2B5EF4-FFF2-40B4-BE49-F238E27FC236}">
              <a16:creationId xmlns="" xmlns:a16="http://schemas.microsoft.com/office/drawing/2014/main" id="{426487FC-4498-4AF7-85E6-DC4B1410444C}"/>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85725</xdr:colOff>
      <xdr:row>28</xdr:row>
      <xdr:rowOff>42557</xdr:rowOff>
    </xdr:to>
    <xdr:sp macro="" textlink="">
      <xdr:nvSpPr>
        <xdr:cNvPr id="485" name="Text Box 10">
          <a:extLst>
            <a:ext uri="{FF2B5EF4-FFF2-40B4-BE49-F238E27FC236}">
              <a16:creationId xmlns="" xmlns:a16="http://schemas.microsoft.com/office/drawing/2014/main" id="{78D1BC7D-0B4A-42DD-9588-39286718BDF6}"/>
            </a:ext>
          </a:extLst>
        </xdr:cNvPr>
        <xdr:cNvSpPr txBox="1">
          <a:spLocks noChangeArrowheads="1"/>
        </xdr:cNvSpPr>
      </xdr:nvSpPr>
      <xdr:spPr bwMode="auto">
        <a:xfrm>
          <a:off x="4314825" y="13896975"/>
          <a:ext cx="76200" cy="1566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85725</xdr:colOff>
      <xdr:row>28</xdr:row>
      <xdr:rowOff>42557</xdr:rowOff>
    </xdr:to>
    <xdr:sp macro="" textlink="">
      <xdr:nvSpPr>
        <xdr:cNvPr id="486" name="Text Box 11">
          <a:extLst>
            <a:ext uri="{FF2B5EF4-FFF2-40B4-BE49-F238E27FC236}">
              <a16:creationId xmlns="" xmlns:a16="http://schemas.microsoft.com/office/drawing/2014/main" id="{133591CA-EABE-4174-B147-03B5A999A6F5}"/>
            </a:ext>
          </a:extLst>
        </xdr:cNvPr>
        <xdr:cNvSpPr txBox="1">
          <a:spLocks noChangeArrowheads="1"/>
        </xdr:cNvSpPr>
      </xdr:nvSpPr>
      <xdr:spPr bwMode="auto">
        <a:xfrm>
          <a:off x="4314825" y="13896975"/>
          <a:ext cx="76200" cy="1566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85725</xdr:colOff>
      <xdr:row>28</xdr:row>
      <xdr:rowOff>42557</xdr:rowOff>
    </xdr:to>
    <xdr:sp macro="" textlink="">
      <xdr:nvSpPr>
        <xdr:cNvPr id="487" name="Text Box 12">
          <a:extLst>
            <a:ext uri="{FF2B5EF4-FFF2-40B4-BE49-F238E27FC236}">
              <a16:creationId xmlns="" xmlns:a16="http://schemas.microsoft.com/office/drawing/2014/main" id="{43FFEC6D-8B98-4313-B730-D2786AFCD552}"/>
            </a:ext>
          </a:extLst>
        </xdr:cNvPr>
        <xdr:cNvSpPr txBox="1">
          <a:spLocks noChangeArrowheads="1"/>
        </xdr:cNvSpPr>
      </xdr:nvSpPr>
      <xdr:spPr bwMode="auto">
        <a:xfrm>
          <a:off x="4314825" y="13896975"/>
          <a:ext cx="76200" cy="1566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488" name="Text Box 10">
          <a:extLst>
            <a:ext uri="{FF2B5EF4-FFF2-40B4-BE49-F238E27FC236}">
              <a16:creationId xmlns="" xmlns:a16="http://schemas.microsoft.com/office/drawing/2014/main" id="{A72226C8-0DE5-4078-884A-53C48B8A8C72}"/>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489" name="Text Box 11">
          <a:extLst>
            <a:ext uri="{FF2B5EF4-FFF2-40B4-BE49-F238E27FC236}">
              <a16:creationId xmlns="" xmlns:a16="http://schemas.microsoft.com/office/drawing/2014/main" id="{BA515D0F-37B4-4006-B690-07816D25229C}"/>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490" name="Text Box 12">
          <a:extLst>
            <a:ext uri="{FF2B5EF4-FFF2-40B4-BE49-F238E27FC236}">
              <a16:creationId xmlns="" xmlns:a16="http://schemas.microsoft.com/office/drawing/2014/main" id="{F4D2D31B-8556-4D98-9BE3-B65EBDF9C99A}"/>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85725</xdr:colOff>
      <xdr:row>28</xdr:row>
      <xdr:rowOff>42557</xdr:rowOff>
    </xdr:to>
    <xdr:sp macro="" textlink="">
      <xdr:nvSpPr>
        <xdr:cNvPr id="491" name="Text Box 10">
          <a:extLst>
            <a:ext uri="{FF2B5EF4-FFF2-40B4-BE49-F238E27FC236}">
              <a16:creationId xmlns="" xmlns:a16="http://schemas.microsoft.com/office/drawing/2014/main" id="{42A38095-CA67-48AE-B006-89CF4EF210E9}"/>
            </a:ext>
          </a:extLst>
        </xdr:cNvPr>
        <xdr:cNvSpPr txBox="1">
          <a:spLocks noChangeArrowheads="1"/>
        </xdr:cNvSpPr>
      </xdr:nvSpPr>
      <xdr:spPr bwMode="auto">
        <a:xfrm>
          <a:off x="4314825" y="13896975"/>
          <a:ext cx="76200" cy="1566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85725</xdr:colOff>
      <xdr:row>28</xdr:row>
      <xdr:rowOff>42557</xdr:rowOff>
    </xdr:to>
    <xdr:sp macro="" textlink="">
      <xdr:nvSpPr>
        <xdr:cNvPr id="492" name="Text Box 11">
          <a:extLst>
            <a:ext uri="{FF2B5EF4-FFF2-40B4-BE49-F238E27FC236}">
              <a16:creationId xmlns="" xmlns:a16="http://schemas.microsoft.com/office/drawing/2014/main" id="{75378360-D0B5-417F-A118-F184A102D7EC}"/>
            </a:ext>
          </a:extLst>
        </xdr:cNvPr>
        <xdr:cNvSpPr txBox="1">
          <a:spLocks noChangeArrowheads="1"/>
        </xdr:cNvSpPr>
      </xdr:nvSpPr>
      <xdr:spPr bwMode="auto">
        <a:xfrm>
          <a:off x="4314825" y="13896975"/>
          <a:ext cx="76200" cy="1566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85725</xdr:colOff>
      <xdr:row>28</xdr:row>
      <xdr:rowOff>42557</xdr:rowOff>
    </xdr:to>
    <xdr:sp macro="" textlink="">
      <xdr:nvSpPr>
        <xdr:cNvPr id="493" name="Text Box 12">
          <a:extLst>
            <a:ext uri="{FF2B5EF4-FFF2-40B4-BE49-F238E27FC236}">
              <a16:creationId xmlns="" xmlns:a16="http://schemas.microsoft.com/office/drawing/2014/main" id="{541604EC-3E8B-47E9-A142-7D719AC45264}"/>
            </a:ext>
          </a:extLst>
        </xdr:cNvPr>
        <xdr:cNvSpPr txBox="1">
          <a:spLocks noChangeArrowheads="1"/>
        </xdr:cNvSpPr>
      </xdr:nvSpPr>
      <xdr:spPr bwMode="auto">
        <a:xfrm>
          <a:off x="4314825" y="13896975"/>
          <a:ext cx="76200" cy="1566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494" name="Text Box 10">
          <a:extLst>
            <a:ext uri="{FF2B5EF4-FFF2-40B4-BE49-F238E27FC236}">
              <a16:creationId xmlns="" xmlns:a16="http://schemas.microsoft.com/office/drawing/2014/main" id="{16A98247-8FE9-4115-98DC-691583724CAD}"/>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495" name="Text Box 11">
          <a:extLst>
            <a:ext uri="{FF2B5EF4-FFF2-40B4-BE49-F238E27FC236}">
              <a16:creationId xmlns="" xmlns:a16="http://schemas.microsoft.com/office/drawing/2014/main" id="{DD10BB63-13C5-431F-B944-6E4E15B9399C}"/>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496" name="Text Box 12">
          <a:extLst>
            <a:ext uri="{FF2B5EF4-FFF2-40B4-BE49-F238E27FC236}">
              <a16:creationId xmlns="" xmlns:a16="http://schemas.microsoft.com/office/drawing/2014/main" id="{EA5C279C-57C8-40D4-8FBC-6258F126A729}"/>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497" name="Text Box 10">
          <a:extLst>
            <a:ext uri="{FF2B5EF4-FFF2-40B4-BE49-F238E27FC236}">
              <a16:creationId xmlns="" xmlns:a16="http://schemas.microsoft.com/office/drawing/2014/main" id="{9084A588-6215-4839-959A-13FE5CD24943}"/>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498" name="Text Box 11">
          <a:extLst>
            <a:ext uri="{FF2B5EF4-FFF2-40B4-BE49-F238E27FC236}">
              <a16:creationId xmlns="" xmlns:a16="http://schemas.microsoft.com/office/drawing/2014/main" id="{5E92AB69-AA74-4A87-8B45-E8CC478D5910}"/>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499" name="Text Box 12">
          <a:extLst>
            <a:ext uri="{FF2B5EF4-FFF2-40B4-BE49-F238E27FC236}">
              <a16:creationId xmlns="" xmlns:a16="http://schemas.microsoft.com/office/drawing/2014/main" id="{A62F6E04-2D43-4C09-B6D1-2012EDCD93B4}"/>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500" name="Text Box 10">
          <a:extLst>
            <a:ext uri="{FF2B5EF4-FFF2-40B4-BE49-F238E27FC236}">
              <a16:creationId xmlns="" xmlns:a16="http://schemas.microsoft.com/office/drawing/2014/main" id="{710FCBC7-75D2-4BD3-B877-98B23EA382A5}"/>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501" name="Text Box 11">
          <a:extLst>
            <a:ext uri="{FF2B5EF4-FFF2-40B4-BE49-F238E27FC236}">
              <a16:creationId xmlns="" xmlns:a16="http://schemas.microsoft.com/office/drawing/2014/main" id="{2F54F81F-A6A9-4A58-80BE-8F94CCBB4AEF}"/>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502" name="Text Box 12">
          <a:extLst>
            <a:ext uri="{FF2B5EF4-FFF2-40B4-BE49-F238E27FC236}">
              <a16:creationId xmlns="" xmlns:a16="http://schemas.microsoft.com/office/drawing/2014/main" id="{0388EF86-81BC-48D6-91B9-7FB461F573CB}"/>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503" name="Text Box 10">
          <a:extLst>
            <a:ext uri="{FF2B5EF4-FFF2-40B4-BE49-F238E27FC236}">
              <a16:creationId xmlns="" xmlns:a16="http://schemas.microsoft.com/office/drawing/2014/main" id="{8DCB5820-2010-4559-AB4F-CADB66BAEE30}"/>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504" name="Text Box 11">
          <a:extLst>
            <a:ext uri="{FF2B5EF4-FFF2-40B4-BE49-F238E27FC236}">
              <a16:creationId xmlns="" xmlns:a16="http://schemas.microsoft.com/office/drawing/2014/main" id="{51C14D07-F49F-4392-BBD9-2043770D16B6}"/>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505" name="Text Box 12">
          <a:extLst>
            <a:ext uri="{FF2B5EF4-FFF2-40B4-BE49-F238E27FC236}">
              <a16:creationId xmlns="" xmlns:a16="http://schemas.microsoft.com/office/drawing/2014/main" id="{61F6A613-3EE6-492D-87D7-E8B8A93964A1}"/>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506" name="Text Box 10">
          <a:extLst>
            <a:ext uri="{FF2B5EF4-FFF2-40B4-BE49-F238E27FC236}">
              <a16:creationId xmlns="" xmlns:a16="http://schemas.microsoft.com/office/drawing/2014/main" id="{7D55EF19-CC18-4D6F-A073-803CB5CD8569}"/>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507" name="Text Box 11">
          <a:extLst>
            <a:ext uri="{FF2B5EF4-FFF2-40B4-BE49-F238E27FC236}">
              <a16:creationId xmlns="" xmlns:a16="http://schemas.microsoft.com/office/drawing/2014/main" id="{8F7E27EC-3A32-4FD0-AC3C-71E7817D962B}"/>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508" name="Text Box 12">
          <a:extLst>
            <a:ext uri="{FF2B5EF4-FFF2-40B4-BE49-F238E27FC236}">
              <a16:creationId xmlns="" xmlns:a16="http://schemas.microsoft.com/office/drawing/2014/main" id="{957C5E84-DEA0-4BFE-AB72-82DD53E9EF18}"/>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85725</xdr:colOff>
      <xdr:row>28</xdr:row>
      <xdr:rowOff>42557</xdr:rowOff>
    </xdr:to>
    <xdr:sp macro="" textlink="">
      <xdr:nvSpPr>
        <xdr:cNvPr id="509" name="Text Box 10">
          <a:extLst>
            <a:ext uri="{FF2B5EF4-FFF2-40B4-BE49-F238E27FC236}">
              <a16:creationId xmlns="" xmlns:a16="http://schemas.microsoft.com/office/drawing/2014/main" id="{CE8662A4-CC3E-45BA-B066-928349D3499C}"/>
            </a:ext>
          </a:extLst>
        </xdr:cNvPr>
        <xdr:cNvSpPr txBox="1">
          <a:spLocks noChangeArrowheads="1"/>
        </xdr:cNvSpPr>
      </xdr:nvSpPr>
      <xdr:spPr bwMode="auto">
        <a:xfrm>
          <a:off x="4314825" y="13896975"/>
          <a:ext cx="76200" cy="1566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85725</xdr:colOff>
      <xdr:row>28</xdr:row>
      <xdr:rowOff>42557</xdr:rowOff>
    </xdr:to>
    <xdr:sp macro="" textlink="">
      <xdr:nvSpPr>
        <xdr:cNvPr id="510" name="Text Box 11">
          <a:extLst>
            <a:ext uri="{FF2B5EF4-FFF2-40B4-BE49-F238E27FC236}">
              <a16:creationId xmlns="" xmlns:a16="http://schemas.microsoft.com/office/drawing/2014/main" id="{870290E4-2E0C-4334-A8C6-8562909CC783}"/>
            </a:ext>
          </a:extLst>
        </xdr:cNvPr>
        <xdr:cNvSpPr txBox="1">
          <a:spLocks noChangeArrowheads="1"/>
        </xdr:cNvSpPr>
      </xdr:nvSpPr>
      <xdr:spPr bwMode="auto">
        <a:xfrm>
          <a:off x="4314825" y="13896975"/>
          <a:ext cx="76200" cy="1566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85725</xdr:colOff>
      <xdr:row>28</xdr:row>
      <xdr:rowOff>42557</xdr:rowOff>
    </xdr:to>
    <xdr:sp macro="" textlink="">
      <xdr:nvSpPr>
        <xdr:cNvPr id="511" name="Text Box 12">
          <a:extLst>
            <a:ext uri="{FF2B5EF4-FFF2-40B4-BE49-F238E27FC236}">
              <a16:creationId xmlns="" xmlns:a16="http://schemas.microsoft.com/office/drawing/2014/main" id="{B7EA980E-CC36-469A-8071-B2F2EEDA90D0}"/>
            </a:ext>
          </a:extLst>
        </xdr:cNvPr>
        <xdr:cNvSpPr txBox="1">
          <a:spLocks noChangeArrowheads="1"/>
        </xdr:cNvSpPr>
      </xdr:nvSpPr>
      <xdr:spPr bwMode="auto">
        <a:xfrm>
          <a:off x="4314825" y="13896975"/>
          <a:ext cx="76200" cy="1566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512" name="Text Box 10">
          <a:extLst>
            <a:ext uri="{FF2B5EF4-FFF2-40B4-BE49-F238E27FC236}">
              <a16:creationId xmlns="" xmlns:a16="http://schemas.microsoft.com/office/drawing/2014/main" id="{4B0301A3-BF5F-40BD-A84A-109136A7D1E9}"/>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513" name="Text Box 11">
          <a:extLst>
            <a:ext uri="{FF2B5EF4-FFF2-40B4-BE49-F238E27FC236}">
              <a16:creationId xmlns="" xmlns:a16="http://schemas.microsoft.com/office/drawing/2014/main" id="{9A90AD60-501E-4190-B5B6-BC82E7AA7135}"/>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514" name="Text Box 12">
          <a:extLst>
            <a:ext uri="{FF2B5EF4-FFF2-40B4-BE49-F238E27FC236}">
              <a16:creationId xmlns="" xmlns:a16="http://schemas.microsoft.com/office/drawing/2014/main" id="{E06E09F6-EA04-4E10-A7FF-A4098C292005}"/>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85725</xdr:colOff>
      <xdr:row>28</xdr:row>
      <xdr:rowOff>42557</xdr:rowOff>
    </xdr:to>
    <xdr:sp macro="" textlink="">
      <xdr:nvSpPr>
        <xdr:cNvPr id="515" name="Text Box 10">
          <a:extLst>
            <a:ext uri="{FF2B5EF4-FFF2-40B4-BE49-F238E27FC236}">
              <a16:creationId xmlns="" xmlns:a16="http://schemas.microsoft.com/office/drawing/2014/main" id="{05996738-64D0-4A2D-BA9C-CF170CD48FDB}"/>
            </a:ext>
          </a:extLst>
        </xdr:cNvPr>
        <xdr:cNvSpPr txBox="1">
          <a:spLocks noChangeArrowheads="1"/>
        </xdr:cNvSpPr>
      </xdr:nvSpPr>
      <xdr:spPr bwMode="auto">
        <a:xfrm>
          <a:off x="4314825" y="13896975"/>
          <a:ext cx="76200" cy="1566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85725</xdr:colOff>
      <xdr:row>28</xdr:row>
      <xdr:rowOff>42557</xdr:rowOff>
    </xdr:to>
    <xdr:sp macro="" textlink="">
      <xdr:nvSpPr>
        <xdr:cNvPr id="516" name="Text Box 11">
          <a:extLst>
            <a:ext uri="{FF2B5EF4-FFF2-40B4-BE49-F238E27FC236}">
              <a16:creationId xmlns="" xmlns:a16="http://schemas.microsoft.com/office/drawing/2014/main" id="{5B8516A8-90C6-464B-AF06-33457B1DBDC8}"/>
            </a:ext>
          </a:extLst>
        </xdr:cNvPr>
        <xdr:cNvSpPr txBox="1">
          <a:spLocks noChangeArrowheads="1"/>
        </xdr:cNvSpPr>
      </xdr:nvSpPr>
      <xdr:spPr bwMode="auto">
        <a:xfrm>
          <a:off x="4314825" y="13896975"/>
          <a:ext cx="76200" cy="1566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85725</xdr:colOff>
      <xdr:row>28</xdr:row>
      <xdr:rowOff>42557</xdr:rowOff>
    </xdr:to>
    <xdr:sp macro="" textlink="">
      <xdr:nvSpPr>
        <xdr:cNvPr id="517" name="Text Box 12">
          <a:extLst>
            <a:ext uri="{FF2B5EF4-FFF2-40B4-BE49-F238E27FC236}">
              <a16:creationId xmlns="" xmlns:a16="http://schemas.microsoft.com/office/drawing/2014/main" id="{244176ED-39A8-4AFC-8608-8989120E9B50}"/>
            </a:ext>
          </a:extLst>
        </xdr:cNvPr>
        <xdr:cNvSpPr txBox="1">
          <a:spLocks noChangeArrowheads="1"/>
        </xdr:cNvSpPr>
      </xdr:nvSpPr>
      <xdr:spPr bwMode="auto">
        <a:xfrm>
          <a:off x="4314825" y="13896975"/>
          <a:ext cx="76200" cy="1566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518" name="Text Box 10">
          <a:extLst>
            <a:ext uri="{FF2B5EF4-FFF2-40B4-BE49-F238E27FC236}">
              <a16:creationId xmlns="" xmlns:a16="http://schemas.microsoft.com/office/drawing/2014/main" id="{FD98E653-0C28-44BB-BD41-5B35D57882D5}"/>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519" name="Text Box 11">
          <a:extLst>
            <a:ext uri="{FF2B5EF4-FFF2-40B4-BE49-F238E27FC236}">
              <a16:creationId xmlns="" xmlns:a16="http://schemas.microsoft.com/office/drawing/2014/main" id="{FFD4B957-CC5A-4782-B439-73C6DC3B3F4D}"/>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520" name="Text Box 12">
          <a:extLst>
            <a:ext uri="{FF2B5EF4-FFF2-40B4-BE49-F238E27FC236}">
              <a16:creationId xmlns="" xmlns:a16="http://schemas.microsoft.com/office/drawing/2014/main" id="{1782C81B-55E1-48FE-9F5C-254DBB39CF21}"/>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521" name="Text Box 10">
          <a:extLst>
            <a:ext uri="{FF2B5EF4-FFF2-40B4-BE49-F238E27FC236}">
              <a16:creationId xmlns="" xmlns:a16="http://schemas.microsoft.com/office/drawing/2014/main" id="{AAFA06CC-3208-4FF0-BC04-694144F05194}"/>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522" name="Text Box 11">
          <a:extLst>
            <a:ext uri="{FF2B5EF4-FFF2-40B4-BE49-F238E27FC236}">
              <a16:creationId xmlns="" xmlns:a16="http://schemas.microsoft.com/office/drawing/2014/main" id="{7BD7440E-6BE8-4B90-B7C1-3AD41A34396D}"/>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523" name="Text Box 12">
          <a:extLst>
            <a:ext uri="{FF2B5EF4-FFF2-40B4-BE49-F238E27FC236}">
              <a16:creationId xmlns="" xmlns:a16="http://schemas.microsoft.com/office/drawing/2014/main" id="{38708560-7164-42F1-84D4-7B273561EFF5}"/>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524" name="Text Box 10">
          <a:extLst>
            <a:ext uri="{FF2B5EF4-FFF2-40B4-BE49-F238E27FC236}">
              <a16:creationId xmlns="" xmlns:a16="http://schemas.microsoft.com/office/drawing/2014/main" id="{3E05C92D-31F0-4EEF-B527-E6F9EFD8D5A4}"/>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525" name="Text Box 11">
          <a:extLst>
            <a:ext uri="{FF2B5EF4-FFF2-40B4-BE49-F238E27FC236}">
              <a16:creationId xmlns="" xmlns:a16="http://schemas.microsoft.com/office/drawing/2014/main" id="{F82BE127-5BD1-4C25-B537-51E9CF719A3E}"/>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526" name="Text Box 12">
          <a:extLst>
            <a:ext uri="{FF2B5EF4-FFF2-40B4-BE49-F238E27FC236}">
              <a16:creationId xmlns="" xmlns:a16="http://schemas.microsoft.com/office/drawing/2014/main" id="{22DEDD74-E5F0-4224-94AA-6B47EB83EDB7}"/>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85725</xdr:colOff>
      <xdr:row>28</xdr:row>
      <xdr:rowOff>42557</xdr:rowOff>
    </xdr:to>
    <xdr:sp macro="" textlink="">
      <xdr:nvSpPr>
        <xdr:cNvPr id="527" name="Text Box 10">
          <a:extLst>
            <a:ext uri="{FF2B5EF4-FFF2-40B4-BE49-F238E27FC236}">
              <a16:creationId xmlns="" xmlns:a16="http://schemas.microsoft.com/office/drawing/2014/main" id="{E679A2EC-CA1C-43F6-B8F4-9FBA40E129A0}"/>
            </a:ext>
          </a:extLst>
        </xdr:cNvPr>
        <xdr:cNvSpPr txBox="1">
          <a:spLocks noChangeArrowheads="1"/>
        </xdr:cNvSpPr>
      </xdr:nvSpPr>
      <xdr:spPr bwMode="auto">
        <a:xfrm>
          <a:off x="4314825" y="13896975"/>
          <a:ext cx="76200" cy="1566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85725</xdr:colOff>
      <xdr:row>28</xdr:row>
      <xdr:rowOff>42557</xdr:rowOff>
    </xdr:to>
    <xdr:sp macro="" textlink="">
      <xdr:nvSpPr>
        <xdr:cNvPr id="528" name="Text Box 11">
          <a:extLst>
            <a:ext uri="{FF2B5EF4-FFF2-40B4-BE49-F238E27FC236}">
              <a16:creationId xmlns="" xmlns:a16="http://schemas.microsoft.com/office/drawing/2014/main" id="{BC358129-2503-4D3C-87FC-B50457F0935A}"/>
            </a:ext>
          </a:extLst>
        </xdr:cNvPr>
        <xdr:cNvSpPr txBox="1">
          <a:spLocks noChangeArrowheads="1"/>
        </xdr:cNvSpPr>
      </xdr:nvSpPr>
      <xdr:spPr bwMode="auto">
        <a:xfrm>
          <a:off x="4314825" y="13896975"/>
          <a:ext cx="76200" cy="1566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85725</xdr:colOff>
      <xdr:row>28</xdr:row>
      <xdr:rowOff>42557</xdr:rowOff>
    </xdr:to>
    <xdr:sp macro="" textlink="">
      <xdr:nvSpPr>
        <xdr:cNvPr id="529" name="Text Box 12">
          <a:extLst>
            <a:ext uri="{FF2B5EF4-FFF2-40B4-BE49-F238E27FC236}">
              <a16:creationId xmlns="" xmlns:a16="http://schemas.microsoft.com/office/drawing/2014/main" id="{C0482C07-8906-4344-983A-35509BC19873}"/>
            </a:ext>
          </a:extLst>
        </xdr:cNvPr>
        <xdr:cNvSpPr txBox="1">
          <a:spLocks noChangeArrowheads="1"/>
        </xdr:cNvSpPr>
      </xdr:nvSpPr>
      <xdr:spPr bwMode="auto">
        <a:xfrm>
          <a:off x="4314825" y="13896975"/>
          <a:ext cx="76200" cy="1566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530" name="Text Box 10">
          <a:extLst>
            <a:ext uri="{FF2B5EF4-FFF2-40B4-BE49-F238E27FC236}">
              <a16:creationId xmlns="" xmlns:a16="http://schemas.microsoft.com/office/drawing/2014/main" id="{9C56E5B4-1722-44D7-82E7-D7D39B53F322}"/>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531" name="Text Box 11">
          <a:extLst>
            <a:ext uri="{FF2B5EF4-FFF2-40B4-BE49-F238E27FC236}">
              <a16:creationId xmlns="" xmlns:a16="http://schemas.microsoft.com/office/drawing/2014/main" id="{4E6AEAEE-7948-4DB1-ABE6-8261C54FB856}"/>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532" name="Text Box 12">
          <a:extLst>
            <a:ext uri="{FF2B5EF4-FFF2-40B4-BE49-F238E27FC236}">
              <a16:creationId xmlns="" xmlns:a16="http://schemas.microsoft.com/office/drawing/2014/main" id="{4AF0A917-04FE-4529-BEFF-5FA085337153}"/>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85725</xdr:colOff>
      <xdr:row>28</xdr:row>
      <xdr:rowOff>42557</xdr:rowOff>
    </xdr:to>
    <xdr:sp macro="" textlink="">
      <xdr:nvSpPr>
        <xdr:cNvPr id="533" name="Text Box 10">
          <a:extLst>
            <a:ext uri="{FF2B5EF4-FFF2-40B4-BE49-F238E27FC236}">
              <a16:creationId xmlns="" xmlns:a16="http://schemas.microsoft.com/office/drawing/2014/main" id="{6B62C63B-758C-47A3-A1DF-22A28842B718}"/>
            </a:ext>
          </a:extLst>
        </xdr:cNvPr>
        <xdr:cNvSpPr txBox="1">
          <a:spLocks noChangeArrowheads="1"/>
        </xdr:cNvSpPr>
      </xdr:nvSpPr>
      <xdr:spPr bwMode="auto">
        <a:xfrm>
          <a:off x="4314825" y="13896975"/>
          <a:ext cx="76200" cy="1566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85725</xdr:colOff>
      <xdr:row>28</xdr:row>
      <xdr:rowOff>42557</xdr:rowOff>
    </xdr:to>
    <xdr:sp macro="" textlink="">
      <xdr:nvSpPr>
        <xdr:cNvPr id="534" name="Text Box 11">
          <a:extLst>
            <a:ext uri="{FF2B5EF4-FFF2-40B4-BE49-F238E27FC236}">
              <a16:creationId xmlns="" xmlns:a16="http://schemas.microsoft.com/office/drawing/2014/main" id="{FA62FAC6-ED52-45FA-AA15-20AF118B84E8}"/>
            </a:ext>
          </a:extLst>
        </xdr:cNvPr>
        <xdr:cNvSpPr txBox="1">
          <a:spLocks noChangeArrowheads="1"/>
        </xdr:cNvSpPr>
      </xdr:nvSpPr>
      <xdr:spPr bwMode="auto">
        <a:xfrm>
          <a:off x="4314825" y="13896975"/>
          <a:ext cx="76200" cy="1566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85725</xdr:colOff>
      <xdr:row>28</xdr:row>
      <xdr:rowOff>42557</xdr:rowOff>
    </xdr:to>
    <xdr:sp macro="" textlink="">
      <xdr:nvSpPr>
        <xdr:cNvPr id="535" name="Text Box 12">
          <a:extLst>
            <a:ext uri="{FF2B5EF4-FFF2-40B4-BE49-F238E27FC236}">
              <a16:creationId xmlns="" xmlns:a16="http://schemas.microsoft.com/office/drawing/2014/main" id="{BBB84BC4-C2E8-4F0B-9465-BFA87C0C6F5D}"/>
            </a:ext>
          </a:extLst>
        </xdr:cNvPr>
        <xdr:cNvSpPr txBox="1">
          <a:spLocks noChangeArrowheads="1"/>
        </xdr:cNvSpPr>
      </xdr:nvSpPr>
      <xdr:spPr bwMode="auto">
        <a:xfrm>
          <a:off x="4314825" y="13896975"/>
          <a:ext cx="76200" cy="1566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536" name="Text Box 10">
          <a:extLst>
            <a:ext uri="{FF2B5EF4-FFF2-40B4-BE49-F238E27FC236}">
              <a16:creationId xmlns="" xmlns:a16="http://schemas.microsoft.com/office/drawing/2014/main" id="{C00463B8-F59E-4F58-AB3C-51350690417D}"/>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537" name="Text Box 11">
          <a:extLst>
            <a:ext uri="{FF2B5EF4-FFF2-40B4-BE49-F238E27FC236}">
              <a16:creationId xmlns="" xmlns:a16="http://schemas.microsoft.com/office/drawing/2014/main" id="{74CCA675-DF6C-4CBC-B17E-19A17ECF2495}"/>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538" name="Text Box 12">
          <a:extLst>
            <a:ext uri="{FF2B5EF4-FFF2-40B4-BE49-F238E27FC236}">
              <a16:creationId xmlns="" xmlns:a16="http://schemas.microsoft.com/office/drawing/2014/main" id="{B15AE02A-F211-4780-823D-6DE21818C2AA}"/>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539" name="Text Box 10">
          <a:extLst>
            <a:ext uri="{FF2B5EF4-FFF2-40B4-BE49-F238E27FC236}">
              <a16:creationId xmlns="" xmlns:a16="http://schemas.microsoft.com/office/drawing/2014/main" id="{404D0843-5D2B-47DC-BA50-034307DD136A}"/>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540" name="Text Box 11">
          <a:extLst>
            <a:ext uri="{FF2B5EF4-FFF2-40B4-BE49-F238E27FC236}">
              <a16:creationId xmlns="" xmlns:a16="http://schemas.microsoft.com/office/drawing/2014/main" id="{88F358CB-F1E2-4CBB-A827-88E7412B2F34}"/>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541" name="Text Box 12">
          <a:extLst>
            <a:ext uri="{FF2B5EF4-FFF2-40B4-BE49-F238E27FC236}">
              <a16:creationId xmlns="" xmlns:a16="http://schemas.microsoft.com/office/drawing/2014/main" id="{059BF835-BEAA-4465-99BD-8F5AFCB4FC61}"/>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542" name="Text Box 10">
          <a:extLst>
            <a:ext uri="{FF2B5EF4-FFF2-40B4-BE49-F238E27FC236}">
              <a16:creationId xmlns="" xmlns:a16="http://schemas.microsoft.com/office/drawing/2014/main" id="{D86BEBB0-F71A-4620-9CFE-3722751A4E3F}"/>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543" name="Text Box 11">
          <a:extLst>
            <a:ext uri="{FF2B5EF4-FFF2-40B4-BE49-F238E27FC236}">
              <a16:creationId xmlns="" xmlns:a16="http://schemas.microsoft.com/office/drawing/2014/main" id="{5B5C078C-D89C-4FD7-B9B7-B25C3BA712F5}"/>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544" name="Text Box 12">
          <a:extLst>
            <a:ext uri="{FF2B5EF4-FFF2-40B4-BE49-F238E27FC236}">
              <a16:creationId xmlns="" xmlns:a16="http://schemas.microsoft.com/office/drawing/2014/main" id="{428E2B1F-5058-4A1F-ADA2-1FDF047DE33D}"/>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85725</xdr:colOff>
      <xdr:row>28</xdr:row>
      <xdr:rowOff>42557</xdr:rowOff>
    </xdr:to>
    <xdr:sp macro="" textlink="">
      <xdr:nvSpPr>
        <xdr:cNvPr id="545" name="Text Box 10">
          <a:extLst>
            <a:ext uri="{FF2B5EF4-FFF2-40B4-BE49-F238E27FC236}">
              <a16:creationId xmlns="" xmlns:a16="http://schemas.microsoft.com/office/drawing/2014/main" id="{7C02B875-6278-48D5-959C-F31DCA99A0A9}"/>
            </a:ext>
          </a:extLst>
        </xdr:cNvPr>
        <xdr:cNvSpPr txBox="1">
          <a:spLocks noChangeArrowheads="1"/>
        </xdr:cNvSpPr>
      </xdr:nvSpPr>
      <xdr:spPr bwMode="auto">
        <a:xfrm>
          <a:off x="4314825" y="13896975"/>
          <a:ext cx="76200" cy="1566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85725</xdr:colOff>
      <xdr:row>28</xdr:row>
      <xdr:rowOff>42557</xdr:rowOff>
    </xdr:to>
    <xdr:sp macro="" textlink="">
      <xdr:nvSpPr>
        <xdr:cNvPr id="546" name="Text Box 11">
          <a:extLst>
            <a:ext uri="{FF2B5EF4-FFF2-40B4-BE49-F238E27FC236}">
              <a16:creationId xmlns="" xmlns:a16="http://schemas.microsoft.com/office/drawing/2014/main" id="{5D48036B-FE4A-4592-8E96-5D9A32AEB2B1}"/>
            </a:ext>
          </a:extLst>
        </xdr:cNvPr>
        <xdr:cNvSpPr txBox="1">
          <a:spLocks noChangeArrowheads="1"/>
        </xdr:cNvSpPr>
      </xdr:nvSpPr>
      <xdr:spPr bwMode="auto">
        <a:xfrm>
          <a:off x="4314825" y="13896975"/>
          <a:ext cx="76200" cy="1566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85725</xdr:colOff>
      <xdr:row>28</xdr:row>
      <xdr:rowOff>42557</xdr:rowOff>
    </xdr:to>
    <xdr:sp macro="" textlink="">
      <xdr:nvSpPr>
        <xdr:cNvPr id="547" name="Text Box 12">
          <a:extLst>
            <a:ext uri="{FF2B5EF4-FFF2-40B4-BE49-F238E27FC236}">
              <a16:creationId xmlns="" xmlns:a16="http://schemas.microsoft.com/office/drawing/2014/main" id="{DD7F18EC-36AB-4112-9A8C-9B289EB92781}"/>
            </a:ext>
          </a:extLst>
        </xdr:cNvPr>
        <xdr:cNvSpPr txBox="1">
          <a:spLocks noChangeArrowheads="1"/>
        </xdr:cNvSpPr>
      </xdr:nvSpPr>
      <xdr:spPr bwMode="auto">
        <a:xfrm>
          <a:off x="4314825" y="13896975"/>
          <a:ext cx="76200" cy="1566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548" name="Text Box 10">
          <a:extLst>
            <a:ext uri="{FF2B5EF4-FFF2-40B4-BE49-F238E27FC236}">
              <a16:creationId xmlns="" xmlns:a16="http://schemas.microsoft.com/office/drawing/2014/main" id="{EBD0307C-6EDE-489D-BC3A-D3FF39E6988C}"/>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549" name="Text Box 11">
          <a:extLst>
            <a:ext uri="{FF2B5EF4-FFF2-40B4-BE49-F238E27FC236}">
              <a16:creationId xmlns="" xmlns:a16="http://schemas.microsoft.com/office/drawing/2014/main" id="{1963EDD7-0BBC-4AFA-A99B-A0FF3B9771B5}"/>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550" name="Text Box 12">
          <a:extLst>
            <a:ext uri="{FF2B5EF4-FFF2-40B4-BE49-F238E27FC236}">
              <a16:creationId xmlns="" xmlns:a16="http://schemas.microsoft.com/office/drawing/2014/main" id="{4FD4F230-1267-4BA9-9AC7-4470519C149D}"/>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85725</xdr:colOff>
      <xdr:row>28</xdr:row>
      <xdr:rowOff>42557</xdr:rowOff>
    </xdr:to>
    <xdr:sp macro="" textlink="">
      <xdr:nvSpPr>
        <xdr:cNvPr id="551" name="Text Box 10">
          <a:extLst>
            <a:ext uri="{FF2B5EF4-FFF2-40B4-BE49-F238E27FC236}">
              <a16:creationId xmlns="" xmlns:a16="http://schemas.microsoft.com/office/drawing/2014/main" id="{58239F40-15A8-4750-A23D-4E185878636D}"/>
            </a:ext>
          </a:extLst>
        </xdr:cNvPr>
        <xdr:cNvSpPr txBox="1">
          <a:spLocks noChangeArrowheads="1"/>
        </xdr:cNvSpPr>
      </xdr:nvSpPr>
      <xdr:spPr bwMode="auto">
        <a:xfrm>
          <a:off x="4314825" y="13896975"/>
          <a:ext cx="76200" cy="1566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85725</xdr:colOff>
      <xdr:row>28</xdr:row>
      <xdr:rowOff>42557</xdr:rowOff>
    </xdr:to>
    <xdr:sp macro="" textlink="">
      <xdr:nvSpPr>
        <xdr:cNvPr id="552" name="Text Box 11">
          <a:extLst>
            <a:ext uri="{FF2B5EF4-FFF2-40B4-BE49-F238E27FC236}">
              <a16:creationId xmlns="" xmlns:a16="http://schemas.microsoft.com/office/drawing/2014/main" id="{5EF1E886-1EF9-41DD-859C-EB660F3CFEC2}"/>
            </a:ext>
          </a:extLst>
        </xdr:cNvPr>
        <xdr:cNvSpPr txBox="1">
          <a:spLocks noChangeArrowheads="1"/>
        </xdr:cNvSpPr>
      </xdr:nvSpPr>
      <xdr:spPr bwMode="auto">
        <a:xfrm>
          <a:off x="4314825" y="13896975"/>
          <a:ext cx="76200" cy="1566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85725</xdr:colOff>
      <xdr:row>28</xdr:row>
      <xdr:rowOff>42557</xdr:rowOff>
    </xdr:to>
    <xdr:sp macro="" textlink="">
      <xdr:nvSpPr>
        <xdr:cNvPr id="553" name="Text Box 12">
          <a:extLst>
            <a:ext uri="{FF2B5EF4-FFF2-40B4-BE49-F238E27FC236}">
              <a16:creationId xmlns="" xmlns:a16="http://schemas.microsoft.com/office/drawing/2014/main" id="{6DE1AC67-11CA-443A-8B4F-7E72A6054281}"/>
            </a:ext>
          </a:extLst>
        </xdr:cNvPr>
        <xdr:cNvSpPr txBox="1">
          <a:spLocks noChangeArrowheads="1"/>
        </xdr:cNvSpPr>
      </xdr:nvSpPr>
      <xdr:spPr bwMode="auto">
        <a:xfrm>
          <a:off x="4314825" y="13896975"/>
          <a:ext cx="76200" cy="1566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554" name="Text Box 10">
          <a:extLst>
            <a:ext uri="{FF2B5EF4-FFF2-40B4-BE49-F238E27FC236}">
              <a16:creationId xmlns="" xmlns:a16="http://schemas.microsoft.com/office/drawing/2014/main" id="{06E1F3CC-B64F-4E38-8EEA-FB0E56032C20}"/>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555" name="Text Box 11">
          <a:extLst>
            <a:ext uri="{FF2B5EF4-FFF2-40B4-BE49-F238E27FC236}">
              <a16:creationId xmlns="" xmlns:a16="http://schemas.microsoft.com/office/drawing/2014/main" id="{25988F87-43C1-4D5D-B5F4-1AC8277AE1F7}"/>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556" name="Text Box 12">
          <a:extLst>
            <a:ext uri="{FF2B5EF4-FFF2-40B4-BE49-F238E27FC236}">
              <a16:creationId xmlns="" xmlns:a16="http://schemas.microsoft.com/office/drawing/2014/main" id="{6C1B349B-75B5-4248-BFEA-4BBD1A5C8DB1}"/>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557" name="Text Box 10">
          <a:extLst>
            <a:ext uri="{FF2B5EF4-FFF2-40B4-BE49-F238E27FC236}">
              <a16:creationId xmlns="" xmlns:a16="http://schemas.microsoft.com/office/drawing/2014/main" id="{EB709C33-8641-497E-A910-B6503A2DD03D}"/>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558" name="Text Box 11">
          <a:extLst>
            <a:ext uri="{FF2B5EF4-FFF2-40B4-BE49-F238E27FC236}">
              <a16:creationId xmlns="" xmlns:a16="http://schemas.microsoft.com/office/drawing/2014/main" id="{544779F3-5A64-4FAB-804F-6B40FD756C50}"/>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559" name="Text Box 12">
          <a:extLst>
            <a:ext uri="{FF2B5EF4-FFF2-40B4-BE49-F238E27FC236}">
              <a16:creationId xmlns="" xmlns:a16="http://schemas.microsoft.com/office/drawing/2014/main" id="{5E441D88-3FA3-459E-AFEE-9B30FE7F4690}"/>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560" name="Text Box 10">
          <a:extLst>
            <a:ext uri="{FF2B5EF4-FFF2-40B4-BE49-F238E27FC236}">
              <a16:creationId xmlns="" xmlns:a16="http://schemas.microsoft.com/office/drawing/2014/main" id="{1BB227F1-208E-4840-A031-4CCDB86C8502}"/>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561" name="Text Box 11">
          <a:extLst>
            <a:ext uri="{FF2B5EF4-FFF2-40B4-BE49-F238E27FC236}">
              <a16:creationId xmlns="" xmlns:a16="http://schemas.microsoft.com/office/drawing/2014/main" id="{F287D47E-123D-4935-A3C1-E25F7155D0FA}"/>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562" name="Text Box 12">
          <a:extLst>
            <a:ext uri="{FF2B5EF4-FFF2-40B4-BE49-F238E27FC236}">
              <a16:creationId xmlns="" xmlns:a16="http://schemas.microsoft.com/office/drawing/2014/main" id="{F77C144B-F1D6-4736-A67D-C5F131CB92D9}"/>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563" name="Text Box 10">
          <a:extLst>
            <a:ext uri="{FF2B5EF4-FFF2-40B4-BE49-F238E27FC236}">
              <a16:creationId xmlns="" xmlns:a16="http://schemas.microsoft.com/office/drawing/2014/main" id="{62167A25-0F9A-4C57-B4CA-CF300AF348A1}"/>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564" name="Text Box 11">
          <a:extLst>
            <a:ext uri="{FF2B5EF4-FFF2-40B4-BE49-F238E27FC236}">
              <a16:creationId xmlns="" xmlns:a16="http://schemas.microsoft.com/office/drawing/2014/main" id="{B361B176-C883-4132-B4A3-46456CE95B0F}"/>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565" name="Text Box 12">
          <a:extLst>
            <a:ext uri="{FF2B5EF4-FFF2-40B4-BE49-F238E27FC236}">
              <a16:creationId xmlns="" xmlns:a16="http://schemas.microsoft.com/office/drawing/2014/main" id="{296D41D4-002A-4ED0-A9EB-694FA8B41E93}"/>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566" name="Text Box 10">
          <a:extLst>
            <a:ext uri="{FF2B5EF4-FFF2-40B4-BE49-F238E27FC236}">
              <a16:creationId xmlns="" xmlns:a16="http://schemas.microsoft.com/office/drawing/2014/main" id="{30DA27E3-B230-451B-937B-9625CF908E89}"/>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567" name="Text Box 11">
          <a:extLst>
            <a:ext uri="{FF2B5EF4-FFF2-40B4-BE49-F238E27FC236}">
              <a16:creationId xmlns="" xmlns:a16="http://schemas.microsoft.com/office/drawing/2014/main" id="{B2BFD7C3-3FEB-4E80-BCFB-C110B3D2660A}"/>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568" name="Text Box 12">
          <a:extLst>
            <a:ext uri="{FF2B5EF4-FFF2-40B4-BE49-F238E27FC236}">
              <a16:creationId xmlns="" xmlns:a16="http://schemas.microsoft.com/office/drawing/2014/main" id="{AEE5235D-D2DA-47A2-99C5-2BBE8AB59E31}"/>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569" name="Text Box 10">
          <a:extLst>
            <a:ext uri="{FF2B5EF4-FFF2-40B4-BE49-F238E27FC236}">
              <a16:creationId xmlns="" xmlns:a16="http://schemas.microsoft.com/office/drawing/2014/main" id="{6A70523E-FEBE-4D41-99B3-96AE85130BC2}"/>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570" name="Text Box 11">
          <a:extLst>
            <a:ext uri="{FF2B5EF4-FFF2-40B4-BE49-F238E27FC236}">
              <a16:creationId xmlns="" xmlns:a16="http://schemas.microsoft.com/office/drawing/2014/main" id="{B55D8214-F453-403C-88AA-70C4C857ACC8}"/>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571" name="Text Box 12">
          <a:extLst>
            <a:ext uri="{FF2B5EF4-FFF2-40B4-BE49-F238E27FC236}">
              <a16:creationId xmlns="" xmlns:a16="http://schemas.microsoft.com/office/drawing/2014/main" id="{78D6BA7E-6C48-4A7A-8729-442338CFAC88}"/>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572" name="Text Box 10">
          <a:extLst>
            <a:ext uri="{FF2B5EF4-FFF2-40B4-BE49-F238E27FC236}">
              <a16:creationId xmlns="" xmlns:a16="http://schemas.microsoft.com/office/drawing/2014/main" id="{B1597A1A-86E3-43C8-97D2-64953D912444}"/>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573" name="Text Box 11">
          <a:extLst>
            <a:ext uri="{FF2B5EF4-FFF2-40B4-BE49-F238E27FC236}">
              <a16:creationId xmlns="" xmlns:a16="http://schemas.microsoft.com/office/drawing/2014/main" id="{CADAAD8B-0413-4A00-8EDC-5B1BEE972447}"/>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574" name="Text Box 12">
          <a:extLst>
            <a:ext uri="{FF2B5EF4-FFF2-40B4-BE49-F238E27FC236}">
              <a16:creationId xmlns="" xmlns:a16="http://schemas.microsoft.com/office/drawing/2014/main" id="{6DDAE3F8-F9FD-4214-B34B-C2A87FDE709C}"/>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575" name="Text Box 10">
          <a:extLst>
            <a:ext uri="{FF2B5EF4-FFF2-40B4-BE49-F238E27FC236}">
              <a16:creationId xmlns="" xmlns:a16="http://schemas.microsoft.com/office/drawing/2014/main" id="{EB06E95C-B741-4CE9-8320-A7A721CA1358}"/>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576" name="Text Box 11">
          <a:extLst>
            <a:ext uri="{FF2B5EF4-FFF2-40B4-BE49-F238E27FC236}">
              <a16:creationId xmlns="" xmlns:a16="http://schemas.microsoft.com/office/drawing/2014/main" id="{43A4F06D-5115-4D11-AE2C-81409222397E}"/>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577" name="Text Box 12">
          <a:extLst>
            <a:ext uri="{FF2B5EF4-FFF2-40B4-BE49-F238E27FC236}">
              <a16:creationId xmlns="" xmlns:a16="http://schemas.microsoft.com/office/drawing/2014/main" id="{02D5053B-0333-4443-8296-CD34AF5E0D49}"/>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578" name="Text Box 10">
          <a:extLst>
            <a:ext uri="{FF2B5EF4-FFF2-40B4-BE49-F238E27FC236}">
              <a16:creationId xmlns="" xmlns:a16="http://schemas.microsoft.com/office/drawing/2014/main" id="{7E327667-51B3-4F77-B97E-12CA5F677ABA}"/>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579" name="Text Box 11">
          <a:extLst>
            <a:ext uri="{FF2B5EF4-FFF2-40B4-BE49-F238E27FC236}">
              <a16:creationId xmlns="" xmlns:a16="http://schemas.microsoft.com/office/drawing/2014/main" id="{3AD3424F-46E7-4563-A039-601396D4829B}"/>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580" name="Text Box 12">
          <a:extLst>
            <a:ext uri="{FF2B5EF4-FFF2-40B4-BE49-F238E27FC236}">
              <a16:creationId xmlns="" xmlns:a16="http://schemas.microsoft.com/office/drawing/2014/main" id="{3289F757-D1CD-41D6-ADA8-1431FE41DDD1}"/>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581" name="Text Box 10">
          <a:extLst>
            <a:ext uri="{FF2B5EF4-FFF2-40B4-BE49-F238E27FC236}">
              <a16:creationId xmlns="" xmlns:a16="http://schemas.microsoft.com/office/drawing/2014/main" id="{56CDE95A-1E5E-4C7E-9F2C-81915969261E}"/>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582" name="Text Box 11">
          <a:extLst>
            <a:ext uri="{FF2B5EF4-FFF2-40B4-BE49-F238E27FC236}">
              <a16:creationId xmlns="" xmlns:a16="http://schemas.microsoft.com/office/drawing/2014/main" id="{F7AD8863-577E-4944-A34C-007B7A5C4B3B}"/>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583" name="Text Box 12">
          <a:extLst>
            <a:ext uri="{FF2B5EF4-FFF2-40B4-BE49-F238E27FC236}">
              <a16:creationId xmlns="" xmlns:a16="http://schemas.microsoft.com/office/drawing/2014/main" id="{538F73B8-CB86-4AA2-A9F8-70D7A10809A5}"/>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584" name="Text Box 10">
          <a:extLst>
            <a:ext uri="{FF2B5EF4-FFF2-40B4-BE49-F238E27FC236}">
              <a16:creationId xmlns="" xmlns:a16="http://schemas.microsoft.com/office/drawing/2014/main" id="{98782DF2-47F2-4618-A7B5-8F02071E917B}"/>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585" name="Text Box 11">
          <a:extLst>
            <a:ext uri="{FF2B5EF4-FFF2-40B4-BE49-F238E27FC236}">
              <a16:creationId xmlns="" xmlns:a16="http://schemas.microsoft.com/office/drawing/2014/main" id="{AAFEAC9D-3E7F-4D4C-9A85-41B0408F7C9D}"/>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586" name="Text Box 12">
          <a:extLst>
            <a:ext uri="{FF2B5EF4-FFF2-40B4-BE49-F238E27FC236}">
              <a16:creationId xmlns="" xmlns:a16="http://schemas.microsoft.com/office/drawing/2014/main" id="{F9E9BCF0-C135-4D53-A6E5-DEADA87489FB}"/>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587" name="Text Box 10">
          <a:extLst>
            <a:ext uri="{FF2B5EF4-FFF2-40B4-BE49-F238E27FC236}">
              <a16:creationId xmlns="" xmlns:a16="http://schemas.microsoft.com/office/drawing/2014/main" id="{51011947-0F82-4012-A34E-F60E3351979B}"/>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588" name="Text Box 11">
          <a:extLst>
            <a:ext uri="{FF2B5EF4-FFF2-40B4-BE49-F238E27FC236}">
              <a16:creationId xmlns="" xmlns:a16="http://schemas.microsoft.com/office/drawing/2014/main" id="{A11A7D09-B4B3-496F-880E-8656D8695199}"/>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589" name="Text Box 12">
          <a:extLst>
            <a:ext uri="{FF2B5EF4-FFF2-40B4-BE49-F238E27FC236}">
              <a16:creationId xmlns="" xmlns:a16="http://schemas.microsoft.com/office/drawing/2014/main" id="{802569BB-6930-4B53-8B16-78965B701EAD}"/>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590" name="Text Box 10">
          <a:extLst>
            <a:ext uri="{FF2B5EF4-FFF2-40B4-BE49-F238E27FC236}">
              <a16:creationId xmlns="" xmlns:a16="http://schemas.microsoft.com/office/drawing/2014/main" id="{B37D2B0D-8114-4278-A890-D14DBDB5A111}"/>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591" name="Text Box 11">
          <a:extLst>
            <a:ext uri="{FF2B5EF4-FFF2-40B4-BE49-F238E27FC236}">
              <a16:creationId xmlns="" xmlns:a16="http://schemas.microsoft.com/office/drawing/2014/main" id="{3BC24148-EEFB-4EEE-9BF4-9F7C7B41EAD0}"/>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592" name="Text Box 12">
          <a:extLst>
            <a:ext uri="{FF2B5EF4-FFF2-40B4-BE49-F238E27FC236}">
              <a16:creationId xmlns="" xmlns:a16="http://schemas.microsoft.com/office/drawing/2014/main" id="{02D01495-BB26-4F04-BE08-F23793C5A668}"/>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593" name="Text Box 10">
          <a:extLst>
            <a:ext uri="{FF2B5EF4-FFF2-40B4-BE49-F238E27FC236}">
              <a16:creationId xmlns="" xmlns:a16="http://schemas.microsoft.com/office/drawing/2014/main" id="{C8ACAC94-CA2B-429E-BA58-9704F6D59ECB}"/>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594" name="Text Box 11">
          <a:extLst>
            <a:ext uri="{FF2B5EF4-FFF2-40B4-BE49-F238E27FC236}">
              <a16:creationId xmlns="" xmlns:a16="http://schemas.microsoft.com/office/drawing/2014/main" id="{1F982374-7B23-4C77-A154-9794F3C98FE2}"/>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595" name="Text Box 12">
          <a:extLst>
            <a:ext uri="{FF2B5EF4-FFF2-40B4-BE49-F238E27FC236}">
              <a16:creationId xmlns="" xmlns:a16="http://schemas.microsoft.com/office/drawing/2014/main" id="{6D4EE071-68B7-4DCB-8037-BFA2D5FB0B71}"/>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596" name="Text Box 10">
          <a:extLst>
            <a:ext uri="{FF2B5EF4-FFF2-40B4-BE49-F238E27FC236}">
              <a16:creationId xmlns="" xmlns:a16="http://schemas.microsoft.com/office/drawing/2014/main" id="{C975FC8B-10CC-4D81-9F78-980940DA0DC7}"/>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597" name="Text Box 11">
          <a:extLst>
            <a:ext uri="{FF2B5EF4-FFF2-40B4-BE49-F238E27FC236}">
              <a16:creationId xmlns="" xmlns:a16="http://schemas.microsoft.com/office/drawing/2014/main" id="{1E8D7119-E129-44BD-9834-B5C95B555225}"/>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598" name="Text Box 12">
          <a:extLst>
            <a:ext uri="{FF2B5EF4-FFF2-40B4-BE49-F238E27FC236}">
              <a16:creationId xmlns="" xmlns:a16="http://schemas.microsoft.com/office/drawing/2014/main" id="{5FD669C0-6CEE-474C-898D-57D3C3B50AF8}"/>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599" name="Text Box 10">
          <a:extLst>
            <a:ext uri="{FF2B5EF4-FFF2-40B4-BE49-F238E27FC236}">
              <a16:creationId xmlns="" xmlns:a16="http://schemas.microsoft.com/office/drawing/2014/main" id="{A8B6B7AE-E503-492D-8B67-9CE9A222D003}"/>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600" name="Text Box 11">
          <a:extLst>
            <a:ext uri="{FF2B5EF4-FFF2-40B4-BE49-F238E27FC236}">
              <a16:creationId xmlns="" xmlns:a16="http://schemas.microsoft.com/office/drawing/2014/main" id="{DAB1EDC7-DFD5-4819-BBF9-F509ADCC5818}"/>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601" name="Text Box 12">
          <a:extLst>
            <a:ext uri="{FF2B5EF4-FFF2-40B4-BE49-F238E27FC236}">
              <a16:creationId xmlns="" xmlns:a16="http://schemas.microsoft.com/office/drawing/2014/main" id="{01CFAFE4-D537-4629-B720-B7A51D45F098}"/>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602" name="Text Box 10">
          <a:extLst>
            <a:ext uri="{FF2B5EF4-FFF2-40B4-BE49-F238E27FC236}">
              <a16:creationId xmlns="" xmlns:a16="http://schemas.microsoft.com/office/drawing/2014/main" id="{3725EF47-3818-4E79-B756-957A0250D26B}"/>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603" name="Text Box 11">
          <a:extLst>
            <a:ext uri="{FF2B5EF4-FFF2-40B4-BE49-F238E27FC236}">
              <a16:creationId xmlns="" xmlns:a16="http://schemas.microsoft.com/office/drawing/2014/main" id="{44A73AE0-CF7A-4C93-8B8E-25D1B50212A2}"/>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604" name="Text Box 12">
          <a:extLst>
            <a:ext uri="{FF2B5EF4-FFF2-40B4-BE49-F238E27FC236}">
              <a16:creationId xmlns="" xmlns:a16="http://schemas.microsoft.com/office/drawing/2014/main" id="{D0EDDEC4-BC8B-4E5C-B028-5A5951CF0A9B}"/>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605" name="Text Box 10">
          <a:extLst>
            <a:ext uri="{FF2B5EF4-FFF2-40B4-BE49-F238E27FC236}">
              <a16:creationId xmlns="" xmlns:a16="http://schemas.microsoft.com/office/drawing/2014/main" id="{D85C1C91-882E-4561-B8A1-03ED0BEEBF86}"/>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606" name="Text Box 11">
          <a:extLst>
            <a:ext uri="{FF2B5EF4-FFF2-40B4-BE49-F238E27FC236}">
              <a16:creationId xmlns="" xmlns:a16="http://schemas.microsoft.com/office/drawing/2014/main" id="{84F1CD09-2A49-463A-8E6C-4E8A71082291}"/>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607" name="Text Box 12">
          <a:extLst>
            <a:ext uri="{FF2B5EF4-FFF2-40B4-BE49-F238E27FC236}">
              <a16:creationId xmlns="" xmlns:a16="http://schemas.microsoft.com/office/drawing/2014/main" id="{026E2B17-CB99-475D-A11E-D9B4F78CFFAD}"/>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608" name="Text Box 10">
          <a:extLst>
            <a:ext uri="{FF2B5EF4-FFF2-40B4-BE49-F238E27FC236}">
              <a16:creationId xmlns="" xmlns:a16="http://schemas.microsoft.com/office/drawing/2014/main" id="{EC8171F0-F399-4D78-A06A-2BE019B6AFE2}"/>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609" name="Text Box 11">
          <a:extLst>
            <a:ext uri="{FF2B5EF4-FFF2-40B4-BE49-F238E27FC236}">
              <a16:creationId xmlns="" xmlns:a16="http://schemas.microsoft.com/office/drawing/2014/main" id="{268802F1-89AE-422A-BE0E-CC9C492D6E74}"/>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610" name="Text Box 12">
          <a:extLst>
            <a:ext uri="{FF2B5EF4-FFF2-40B4-BE49-F238E27FC236}">
              <a16:creationId xmlns="" xmlns:a16="http://schemas.microsoft.com/office/drawing/2014/main" id="{36C1BBF7-5089-4689-99D1-8D4CF846B90D}"/>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611" name="Text Box 10">
          <a:extLst>
            <a:ext uri="{FF2B5EF4-FFF2-40B4-BE49-F238E27FC236}">
              <a16:creationId xmlns="" xmlns:a16="http://schemas.microsoft.com/office/drawing/2014/main" id="{DA631FF5-C512-4217-9E9A-C7FFE9B4D168}"/>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612" name="Text Box 11">
          <a:extLst>
            <a:ext uri="{FF2B5EF4-FFF2-40B4-BE49-F238E27FC236}">
              <a16:creationId xmlns="" xmlns:a16="http://schemas.microsoft.com/office/drawing/2014/main" id="{84877B6C-B707-46FC-BAFE-D546A3D8FFC1}"/>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613" name="Text Box 12">
          <a:extLst>
            <a:ext uri="{FF2B5EF4-FFF2-40B4-BE49-F238E27FC236}">
              <a16:creationId xmlns="" xmlns:a16="http://schemas.microsoft.com/office/drawing/2014/main" id="{F2F5126A-5F07-404A-B5A9-7F7C4C573547}"/>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614" name="Text Box 10">
          <a:extLst>
            <a:ext uri="{FF2B5EF4-FFF2-40B4-BE49-F238E27FC236}">
              <a16:creationId xmlns="" xmlns:a16="http://schemas.microsoft.com/office/drawing/2014/main" id="{E8B78F0B-0D23-49B4-8DBA-BCFF43D9BAB0}"/>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615" name="Text Box 11">
          <a:extLst>
            <a:ext uri="{FF2B5EF4-FFF2-40B4-BE49-F238E27FC236}">
              <a16:creationId xmlns="" xmlns:a16="http://schemas.microsoft.com/office/drawing/2014/main" id="{E3971AB8-D9F7-4987-879C-67C5ECAD9DB3}"/>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616" name="Text Box 12">
          <a:extLst>
            <a:ext uri="{FF2B5EF4-FFF2-40B4-BE49-F238E27FC236}">
              <a16:creationId xmlns="" xmlns:a16="http://schemas.microsoft.com/office/drawing/2014/main" id="{877F951B-1752-464D-818A-6C0BE46706FA}"/>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617" name="Text Box 10">
          <a:extLst>
            <a:ext uri="{FF2B5EF4-FFF2-40B4-BE49-F238E27FC236}">
              <a16:creationId xmlns="" xmlns:a16="http://schemas.microsoft.com/office/drawing/2014/main" id="{B7731A0C-B667-4BA7-AF69-E858F7080B70}"/>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618" name="Text Box 11">
          <a:extLst>
            <a:ext uri="{FF2B5EF4-FFF2-40B4-BE49-F238E27FC236}">
              <a16:creationId xmlns="" xmlns:a16="http://schemas.microsoft.com/office/drawing/2014/main" id="{F29276D7-E505-4A7A-A9A9-8B3116EF242D}"/>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619" name="Text Box 12">
          <a:extLst>
            <a:ext uri="{FF2B5EF4-FFF2-40B4-BE49-F238E27FC236}">
              <a16:creationId xmlns="" xmlns:a16="http://schemas.microsoft.com/office/drawing/2014/main" id="{B47B2340-DD62-44EA-8FC1-600774233D96}"/>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620" name="Text Box 10">
          <a:extLst>
            <a:ext uri="{FF2B5EF4-FFF2-40B4-BE49-F238E27FC236}">
              <a16:creationId xmlns="" xmlns:a16="http://schemas.microsoft.com/office/drawing/2014/main" id="{E498A2DC-0D82-4BFB-A514-34A6251EC602}"/>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621" name="Text Box 11">
          <a:extLst>
            <a:ext uri="{FF2B5EF4-FFF2-40B4-BE49-F238E27FC236}">
              <a16:creationId xmlns="" xmlns:a16="http://schemas.microsoft.com/office/drawing/2014/main" id="{D209CCAF-5B8F-4BBF-B0A9-00AA746B9011}"/>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622" name="Text Box 12">
          <a:extLst>
            <a:ext uri="{FF2B5EF4-FFF2-40B4-BE49-F238E27FC236}">
              <a16:creationId xmlns="" xmlns:a16="http://schemas.microsoft.com/office/drawing/2014/main" id="{6D901380-CCFE-4BE3-A3D8-5A1DFD5FA391}"/>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623" name="Text Box 10">
          <a:extLst>
            <a:ext uri="{FF2B5EF4-FFF2-40B4-BE49-F238E27FC236}">
              <a16:creationId xmlns="" xmlns:a16="http://schemas.microsoft.com/office/drawing/2014/main" id="{5B0C59EF-8A94-48F2-8411-638FBF25A4AD}"/>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624" name="Text Box 11">
          <a:extLst>
            <a:ext uri="{FF2B5EF4-FFF2-40B4-BE49-F238E27FC236}">
              <a16:creationId xmlns="" xmlns:a16="http://schemas.microsoft.com/office/drawing/2014/main" id="{797C2B9D-0A95-4F75-A9D4-7C84E56DDA21}"/>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277845</xdr:rowOff>
    </xdr:to>
    <xdr:sp macro="" textlink="">
      <xdr:nvSpPr>
        <xdr:cNvPr id="625" name="Text Box 12">
          <a:extLst>
            <a:ext uri="{FF2B5EF4-FFF2-40B4-BE49-F238E27FC236}">
              <a16:creationId xmlns="" xmlns:a16="http://schemas.microsoft.com/office/drawing/2014/main" id="{6810933F-DF3D-473F-AE47-77EC70C52CA4}"/>
            </a:ext>
          </a:extLst>
        </xdr:cNvPr>
        <xdr:cNvSpPr txBox="1">
          <a:spLocks noChangeArrowheads="1"/>
        </xdr:cNvSpPr>
      </xdr:nvSpPr>
      <xdr:spPr bwMode="auto">
        <a:xfrm>
          <a:off x="4314825" y="13896975"/>
          <a:ext cx="95250" cy="18018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626" name="Text Box 10">
          <a:extLst>
            <a:ext uri="{FF2B5EF4-FFF2-40B4-BE49-F238E27FC236}">
              <a16:creationId xmlns="" xmlns:a16="http://schemas.microsoft.com/office/drawing/2014/main" id="{F29A060F-178A-427F-8257-B4057E5FEDA9}"/>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627" name="Text Box 11">
          <a:extLst>
            <a:ext uri="{FF2B5EF4-FFF2-40B4-BE49-F238E27FC236}">
              <a16:creationId xmlns="" xmlns:a16="http://schemas.microsoft.com/office/drawing/2014/main" id="{9B2A3320-9AEF-44EB-830E-9F9D555F3D12}"/>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628" name="Text Box 12">
          <a:extLst>
            <a:ext uri="{FF2B5EF4-FFF2-40B4-BE49-F238E27FC236}">
              <a16:creationId xmlns="" xmlns:a16="http://schemas.microsoft.com/office/drawing/2014/main" id="{E5C77645-EC83-43F3-8FF9-ED39E4E8BE7B}"/>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629" name="Text Box 10">
          <a:extLst>
            <a:ext uri="{FF2B5EF4-FFF2-40B4-BE49-F238E27FC236}">
              <a16:creationId xmlns="" xmlns:a16="http://schemas.microsoft.com/office/drawing/2014/main" id="{ECC59D9C-2E40-4CD8-AA6F-2F7CD0B7E5B7}"/>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630" name="Text Box 11">
          <a:extLst>
            <a:ext uri="{FF2B5EF4-FFF2-40B4-BE49-F238E27FC236}">
              <a16:creationId xmlns="" xmlns:a16="http://schemas.microsoft.com/office/drawing/2014/main" id="{BDB9B7A6-B873-4C42-AC6B-D0069683E15F}"/>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631" name="Text Box 12">
          <a:extLst>
            <a:ext uri="{FF2B5EF4-FFF2-40B4-BE49-F238E27FC236}">
              <a16:creationId xmlns="" xmlns:a16="http://schemas.microsoft.com/office/drawing/2014/main" id="{5DE3F646-C22C-4ECF-9CAA-8EBD1C96F946}"/>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632" name="Text Box 10">
          <a:extLst>
            <a:ext uri="{FF2B5EF4-FFF2-40B4-BE49-F238E27FC236}">
              <a16:creationId xmlns="" xmlns:a16="http://schemas.microsoft.com/office/drawing/2014/main" id="{A268E43A-6559-4F34-83D6-16BB9748B9EB}"/>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633" name="Text Box 11">
          <a:extLst>
            <a:ext uri="{FF2B5EF4-FFF2-40B4-BE49-F238E27FC236}">
              <a16:creationId xmlns="" xmlns:a16="http://schemas.microsoft.com/office/drawing/2014/main" id="{6E51877C-A020-481F-9852-3609DD5D39C2}"/>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634" name="Text Box 12">
          <a:extLst>
            <a:ext uri="{FF2B5EF4-FFF2-40B4-BE49-F238E27FC236}">
              <a16:creationId xmlns="" xmlns:a16="http://schemas.microsoft.com/office/drawing/2014/main" id="{73CA4BE3-6E7D-4C88-98D1-CA3937A361D1}"/>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635" name="Text Box 10">
          <a:extLst>
            <a:ext uri="{FF2B5EF4-FFF2-40B4-BE49-F238E27FC236}">
              <a16:creationId xmlns="" xmlns:a16="http://schemas.microsoft.com/office/drawing/2014/main" id="{56D442B1-E2BC-400A-918C-28515043D7C2}"/>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636" name="Text Box 11">
          <a:extLst>
            <a:ext uri="{FF2B5EF4-FFF2-40B4-BE49-F238E27FC236}">
              <a16:creationId xmlns="" xmlns:a16="http://schemas.microsoft.com/office/drawing/2014/main" id="{DF4C38C0-07CA-4416-B7A7-308A36C4D8BB}"/>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637" name="Text Box 12">
          <a:extLst>
            <a:ext uri="{FF2B5EF4-FFF2-40B4-BE49-F238E27FC236}">
              <a16:creationId xmlns="" xmlns:a16="http://schemas.microsoft.com/office/drawing/2014/main" id="{D51615E2-84D3-4621-9CAF-7F6FC4DAFD4F}"/>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638" name="Text Box 10">
          <a:extLst>
            <a:ext uri="{FF2B5EF4-FFF2-40B4-BE49-F238E27FC236}">
              <a16:creationId xmlns="" xmlns:a16="http://schemas.microsoft.com/office/drawing/2014/main" id="{E86428B9-E5A6-4975-B0BF-47EF0F815BB9}"/>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639" name="Text Box 11">
          <a:extLst>
            <a:ext uri="{FF2B5EF4-FFF2-40B4-BE49-F238E27FC236}">
              <a16:creationId xmlns="" xmlns:a16="http://schemas.microsoft.com/office/drawing/2014/main" id="{927CA47D-A6B3-4387-BB9E-4DFBA8DA5D36}"/>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640" name="Text Box 12">
          <a:extLst>
            <a:ext uri="{FF2B5EF4-FFF2-40B4-BE49-F238E27FC236}">
              <a16:creationId xmlns="" xmlns:a16="http://schemas.microsoft.com/office/drawing/2014/main" id="{FF86E608-E61C-484B-BB86-542B49F657AA}"/>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641" name="Text Box 10">
          <a:extLst>
            <a:ext uri="{FF2B5EF4-FFF2-40B4-BE49-F238E27FC236}">
              <a16:creationId xmlns="" xmlns:a16="http://schemas.microsoft.com/office/drawing/2014/main" id="{C5C0898F-35B7-4698-9D3D-656BC954830F}"/>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642" name="Text Box 11">
          <a:extLst>
            <a:ext uri="{FF2B5EF4-FFF2-40B4-BE49-F238E27FC236}">
              <a16:creationId xmlns="" xmlns:a16="http://schemas.microsoft.com/office/drawing/2014/main" id="{2124F2E0-1C65-4F2F-AB1D-ACE094968C2F}"/>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643" name="Text Box 12">
          <a:extLst>
            <a:ext uri="{FF2B5EF4-FFF2-40B4-BE49-F238E27FC236}">
              <a16:creationId xmlns="" xmlns:a16="http://schemas.microsoft.com/office/drawing/2014/main" id="{648426F1-EE18-4743-BA5E-7C215D345EC9}"/>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644" name="Text Box 10">
          <a:extLst>
            <a:ext uri="{FF2B5EF4-FFF2-40B4-BE49-F238E27FC236}">
              <a16:creationId xmlns="" xmlns:a16="http://schemas.microsoft.com/office/drawing/2014/main" id="{B68642D7-A281-4D8C-9DC5-67EEEA979FF5}"/>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645" name="Text Box 11">
          <a:extLst>
            <a:ext uri="{FF2B5EF4-FFF2-40B4-BE49-F238E27FC236}">
              <a16:creationId xmlns="" xmlns:a16="http://schemas.microsoft.com/office/drawing/2014/main" id="{7F729EF2-95D3-414D-A0B4-626672FF9D61}"/>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646" name="Text Box 12">
          <a:extLst>
            <a:ext uri="{FF2B5EF4-FFF2-40B4-BE49-F238E27FC236}">
              <a16:creationId xmlns="" xmlns:a16="http://schemas.microsoft.com/office/drawing/2014/main" id="{0D8F94D9-3BE2-4563-8041-46E4EA04392B}"/>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647" name="Text Box 10">
          <a:extLst>
            <a:ext uri="{FF2B5EF4-FFF2-40B4-BE49-F238E27FC236}">
              <a16:creationId xmlns="" xmlns:a16="http://schemas.microsoft.com/office/drawing/2014/main" id="{B6912FA7-3864-4A05-ABC5-CA88CC47597D}"/>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648" name="Text Box 11">
          <a:extLst>
            <a:ext uri="{FF2B5EF4-FFF2-40B4-BE49-F238E27FC236}">
              <a16:creationId xmlns="" xmlns:a16="http://schemas.microsoft.com/office/drawing/2014/main" id="{83B53405-AE00-41CB-AE6E-ADD26ADEE327}"/>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649" name="Text Box 12">
          <a:extLst>
            <a:ext uri="{FF2B5EF4-FFF2-40B4-BE49-F238E27FC236}">
              <a16:creationId xmlns="" xmlns:a16="http://schemas.microsoft.com/office/drawing/2014/main" id="{0FF8BDC5-3970-4EA7-92C5-08BD5B6A0F26}"/>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650" name="Text Box 10">
          <a:extLst>
            <a:ext uri="{FF2B5EF4-FFF2-40B4-BE49-F238E27FC236}">
              <a16:creationId xmlns="" xmlns:a16="http://schemas.microsoft.com/office/drawing/2014/main" id="{5C3182B3-A098-4A26-90F3-0B15EAE2A77D}"/>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651" name="Text Box 11">
          <a:extLst>
            <a:ext uri="{FF2B5EF4-FFF2-40B4-BE49-F238E27FC236}">
              <a16:creationId xmlns="" xmlns:a16="http://schemas.microsoft.com/office/drawing/2014/main" id="{C271C106-71D4-44E1-BC8D-5F5F747E7ECE}"/>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652" name="Text Box 12">
          <a:extLst>
            <a:ext uri="{FF2B5EF4-FFF2-40B4-BE49-F238E27FC236}">
              <a16:creationId xmlns="" xmlns:a16="http://schemas.microsoft.com/office/drawing/2014/main" id="{5C451DED-1A9B-4921-BB52-70D3AA064E15}"/>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653" name="Text Box 10">
          <a:extLst>
            <a:ext uri="{FF2B5EF4-FFF2-40B4-BE49-F238E27FC236}">
              <a16:creationId xmlns="" xmlns:a16="http://schemas.microsoft.com/office/drawing/2014/main" id="{3B5BEB61-CB86-43C6-B496-A0751FAA24AB}"/>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654" name="Text Box 11">
          <a:extLst>
            <a:ext uri="{FF2B5EF4-FFF2-40B4-BE49-F238E27FC236}">
              <a16:creationId xmlns="" xmlns:a16="http://schemas.microsoft.com/office/drawing/2014/main" id="{C15C5D31-5A6B-441E-AEB3-BBB843E879FE}"/>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655" name="Text Box 12">
          <a:extLst>
            <a:ext uri="{FF2B5EF4-FFF2-40B4-BE49-F238E27FC236}">
              <a16:creationId xmlns="" xmlns:a16="http://schemas.microsoft.com/office/drawing/2014/main" id="{874ADDEE-C98E-4BDD-9126-5247A69916F7}"/>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656" name="Text Box 10">
          <a:extLst>
            <a:ext uri="{FF2B5EF4-FFF2-40B4-BE49-F238E27FC236}">
              <a16:creationId xmlns="" xmlns:a16="http://schemas.microsoft.com/office/drawing/2014/main" id="{5E2BD2EF-2724-4CC0-9AA7-3639615FEDF1}"/>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657" name="Text Box 11">
          <a:extLst>
            <a:ext uri="{FF2B5EF4-FFF2-40B4-BE49-F238E27FC236}">
              <a16:creationId xmlns="" xmlns:a16="http://schemas.microsoft.com/office/drawing/2014/main" id="{78351CB7-39C6-471F-AAD3-16AD571F6792}"/>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658" name="Text Box 12">
          <a:extLst>
            <a:ext uri="{FF2B5EF4-FFF2-40B4-BE49-F238E27FC236}">
              <a16:creationId xmlns="" xmlns:a16="http://schemas.microsoft.com/office/drawing/2014/main" id="{C5865535-F834-4D18-BAD7-68CAF7D194B1}"/>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659" name="Text Box 10">
          <a:extLst>
            <a:ext uri="{FF2B5EF4-FFF2-40B4-BE49-F238E27FC236}">
              <a16:creationId xmlns="" xmlns:a16="http://schemas.microsoft.com/office/drawing/2014/main" id="{097CCE1B-F479-467F-AFA1-8AECA1CE1105}"/>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660" name="Text Box 11">
          <a:extLst>
            <a:ext uri="{FF2B5EF4-FFF2-40B4-BE49-F238E27FC236}">
              <a16:creationId xmlns="" xmlns:a16="http://schemas.microsoft.com/office/drawing/2014/main" id="{A50DA062-5AA1-41CE-8869-0C7DE388A711}"/>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661" name="Text Box 12">
          <a:extLst>
            <a:ext uri="{FF2B5EF4-FFF2-40B4-BE49-F238E27FC236}">
              <a16:creationId xmlns="" xmlns:a16="http://schemas.microsoft.com/office/drawing/2014/main" id="{624ABFB4-B8FE-4E92-A83A-AFC2394A0C14}"/>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662" name="Text Box 10">
          <a:extLst>
            <a:ext uri="{FF2B5EF4-FFF2-40B4-BE49-F238E27FC236}">
              <a16:creationId xmlns="" xmlns:a16="http://schemas.microsoft.com/office/drawing/2014/main" id="{5F41AE53-D119-41B8-8AA4-AA98109FB091}"/>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663" name="Text Box 11">
          <a:extLst>
            <a:ext uri="{FF2B5EF4-FFF2-40B4-BE49-F238E27FC236}">
              <a16:creationId xmlns="" xmlns:a16="http://schemas.microsoft.com/office/drawing/2014/main" id="{D48AB2E4-31AA-4B62-A5E2-5B8F4AFF8EF6}"/>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664" name="Text Box 12">
          <a:extLst>
            <a:ext uri="{FF2B5EF4-FFF2-40B4-BE49-F238E27FC236}">
              <a16:creationId xmlns="" xmlns:a16="http://schemas.microsoft.com/office/drawing/2014/main" id="{1938DF97-9AD9-4E56-9648-811F627922C0}"/>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665" name="Text Box 10">
          <a:extLst>
            <a:ext uri="{FF2B5EF4-FFF2-40B4-BE49-F238E27FC236}">
              <a16:creationId xmlns="" xmlns:a16="http://schemas.microsoft.com/office/drawing/2014/main" id="{2EFDDB3B-C758-4966-9B27-622A86B8F5B9}"/>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666" name="Text Box 11">
          <a:extLst>
            <a:ext uri="{FF2B5EF4-FFF2-40B4-BE49-F238E27FC236}">
              <a16:creationId xmlns="" xmlns:a16="http://schemas.microsoft.com/office/drawing/2014/main" id="{DBD18BD9-4467-4866-AEBC-F0BF4D6907B0}"/>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667" name="Text Box 12">
          <a:extLst>
            <a:ext uri="{FF2B5EF4-FFF2-40B4-BE49-F238E27FC236}">
              <a16:creationId xmlns="" xmlns:a16="http://schemas.microsoft.com/office/drawing/2014/main" id="{22EB0A45-9C3C-4540-B350-9A26E4E5F23E}"/>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668" name="Text Box 10">
          <a:extLst>
            <a:ext uri="{FF2B5EF4-FFF2-40B4-BE49-F238E27FC236}">
              <a16:creationId xmlns="" xmlns:a16="http://schemas.microsoft.com/office/drawing/2014/main" id="{472AA8AA-CCDC-4162-A2DF-E325689980FD}"/>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669" name="Text Box 11">
          <a:extLst>
            <a:ext uri="{FF2B5EF4-FFF2-40B4-BE49-F238E27FC236}">
              <a16:creationId xmlns="" xmlns:a16="http://schemas.microsoft.com/office/drawing/2014/main" id="{F6A414C7-6309-43BB-BF47-7A890D4D714F}"/>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670" name="Text Box 12">
          <a:extLst>
            <a:ext uri="{FF2B5EF4-FFF2-40B4-BE49-F238E27FC236}">
              <a16:creationId xmlns="" xmlns:a16="http://schemas.microsoft.com/office/drawing/2014/main" id="{1BF7F14A-5439-4AFE-BDCA-02B2A23A3CBC}"/>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671" name="Text Box 10">
          <a:extLst>
            <a:ext uri="{FF2B5EF4-FFF2-40B4-BE49-F238E27FC236}">
              <a16:creationId xmlns="" xmlns:a16="http://schemas.microsoft.com/office/drawing/2014/main" id="{DD8D50A8-6659-4FFF-AFB3-4C31033D587D}"/>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672" name="Text Box 11">
          <a:extLst>
            <a:ext uri="{FF2B5EF4-FFF2-40B4-BE49-F238E27FC236}">
              <a16:creationId xmlns="" xmlns:a16="http://schemas.microsoft.com/office/drawing/2014/main" id="{DA9CB7DB-11B9-45EA-977F-66664634D579}"/>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673" name="Text Box 12">
          <a:extLst>
            <a:ext uri="{FF2B5EF4-FFF2-40B4-BE49-F238E27FC236}">
              <a16:creationId xmlns="" xmlns:a16="http://schemas.microsoft.com/office/drawing/2014/main" id="{513B0F40-F76B-4D52-8B59-F73B0513691E}"/>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674" name="Text Box 10">
          <a:extLst>
            <a:ext uri="{FF2B5EF4-FFF2-40B4-BE49-F238E27FC236}">
              <a16:creationId xmlns="" xmlns:a16="http://schemas.microsoft.com/office/drawing/2014/main" id="{2954D25C-227F-448A-85F0-365DD365A9E3}"/>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675" name="Text Box 11">
          <a:extLst>
            <a:ext uri="{FF2B5EF4-FFF2-40B4-BE49-F238E27FC236}">
              <a16:creationId xmlns="" xmlns:a16="http://schemas.microsoft.com/office/drawing/2014/main" id="{822E0F81-4824-4615-A91D-381EA15D4E2C}"/>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676" name="Text Box 12">
          <a:extLst>
            <a:ext uri="{FF2B5EF4-FFF2-40B4-BE49-F238E27FC236}">
              <a16:creationId xmlns="" xmlns:a16="http://schemas.microsoft.com/office/drawing/2014/main" id="{78FC7750-0C04-47D8-8D45-EFF9B5381E10}"/>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677" name="Text Box 10">
          <a:extLst>
            <a:ext uri="{FF2B5EF4-FFF2-40B4-BE49-F238E27FC236}">
              <a16:creationId xmlns="" xmlns:a16="http://schemas.microsoft.com/office/drawing/2014/main" id="{BAD86B14-3E36-473D-B1B1-A1F33BAB5008}"/>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678" name="Text Box 11">
          <a:extLst>
            <a:ext uri="{FF2B5EF4-FFF2-40B4-BE49-F238E27FC236}">
              <a16:creationId xmlns="" xmlns:a16="http://schemas.microsoft.com/office/drawing/2014/main" id="{6BF8A863-778F-4DF4-819E-B43F6644734E}"/>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679" name="Text Box 12">
          <a:extLst>
            <a:ext uri="{FF2B5EF4-FFF2-40B4-BE49-F238E27FC236}">
              <a16:creationId xmlns="" xmlns:a16="http://schemas.microsoft.com/office/drawing/2014/main" id="{FF31E239-E921-423A-807F-00590A92E0B7}"/>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680" name="Text Box 10">
          <a:extLst>
            <a:ext uri="{FF2B5EF4-FFF2-40B4-BE49-F238E27FC236}">
              <a16:creationId xmlns="" xmlns:a16="http://schemas.microsoft.com/office/drawing/2014/main" id="{C734B5DB-C6C4-403D-8A48-B1B1762335C3}"/>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681" name="Text Box 11">
          <a:extLst>
            <a:ext uri="{FF2B5EF4-FFF2-40B4-BE49-F238E27FC236}">
              <a16:creationId xmlns="" xmlns:a16="http://schemas.microsoft.com/office/drawing/2014/main" id="{1174BFCA-211C-4B48-B06E-A45EC07C3896}"/>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682" name="Text Box 12">
          <a:extLst>
            <a:ext uri="{FF2B5EF4-FFF2-40B4-BE49-F238E27FC236}">
              <a16:creationId xmlns="" xmlns:a16="http://schemas.microsoft.com/office/drawing/2014/main" id="{F90860EC-3AC0-4069-AF35-8DB3F771A5F2}"/>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683" name="Text Box 10">
          <a:extLst>
            <a:ext uri="{FF2B5EF4-FFF2-40B4-BE49-F238E27FC236}">
              <a16:creationId xmlns="" xmlns:a16="http://schemas.microsoft.com/office/drawing/2014/main" id="{55673620-F02D-4ADC-9AC8-01D6A0AD9B07}"/>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684" name="Text Box 11">
          <a:extLst>
            <a:ext uri="{FF2B5EF4-FFF2-40B4-BE49-F238E27FC236}">
              <a16:creationId xmlns="" xmlns:a16="http://schemas.microsoft.com/office/drawing/2014/main" id="{ADA37BFB-B748-44B9-A93D-425CBD1FEF44}"/>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685" name="Text Box 12">
          <a:extLst>
            <a:ext uri="{FF2B5EF4-FFF2-40B4-BE49-F238E27FC236}">
              <a16:creationId xmlns="" xmlns:a16="http://schemas.microsoft.com/office/drawing/2014/main" id="{80C6C02E-84F2-4C25-B1A3-B47982B719B0}"/>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686" name="Text Box 10">
          <a:extLst>
            <a:ext uri="{FF2B5EF4-FFF2-40B4-BE49-F238E27FC236}">
              <a16:creationId xmlns="" xmlns:a16="http://schemas.microsoft.com/office/drawing/2014/main" id="{128441F7-5703-468B-A516-AB7BAFA5AC0B}"/>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687" name="Text Box 11">
          <a:extLst>
            <a:ext uri="{FF2B5EF4-FFF2-40B4-BE49-F238E27FC236}">
              <a16:creationId xmlns="" xmlns:a16="http://schemas.microsoft.com/office/drawing/2014/main" id="{BF62E5E3-01E7-4197-B021-254B5C58745C}"/>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688" name="Text Box 12">
          <a:extLst>
            <a:ext uri="{FF2B5EF4-FFF2-40B4-BE49-F238E27FC236}">
              <a16:creationId xmlns="" xmlns:a16="http://schemas.microsoft.com/office/drawing/2014/main" id="{62D4F93D-6CB0-4E09-8AD8-CEF271F5CD0B}"/>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689" name="Text Box 10">
          <a:extLst>
            <a:ext uri="{FF2B5EF4-FFF2-40B4-BE49-F238E27FC236}">
              <a16:creationId xmlns="" xmlns:a16="http://schemas.microsoft.com/office/drawing/2014/main" id="{B790BABE-5099-41E0-A51A-2C1AD6FACCFE}"/>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690" name="Text Box 11">
          <a:extLst>
            <a:ext uri="{FF2B5EF4-FFF2-40B4-BE49-F238E27FC236}">
              <a16:creationId xmlns="" xmlns:a16="http://schemas.microsoft.com/office/drawing/2014/main" id="{7AA57199-1F30-4644-A494-2EDE817BD634}"/>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691" name="Text Box 12">
          <a:extLst>
            <a:ext uri="{FF2B5EF4-FFF2-40B4-BE49-F238E27FC236}">
              <a16:creationId xmlns="" xmlns:a16="http://schemas.microsoft.com/office/drawing/2014/main" id="{FAEAEBCC-0770-440E-9F23-EFD8B3BE5209}"/>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692" name="Text Box 10">
          <a:extLst>
            <a:ext uri="{FF2B5EF4-FFF2-40B4-BE49-F238E27FC236}">
              <a16:creationId xmlns="" xmlns:a16="http://schemas.microsoft.com/office/drawing/2014/main" id="{E2A08C8A-EB73-49FF-BECF-F28550AA051D}"/>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693" name="Text Box 11">
          <a:extLst>
            <a:ext uri="{FF2B5EF4-FFF2-40B4-BE49-F238E27FC236}">
              <a16:creationId xmlns="" xmlns:a16="http://schemas.microsoft.com/office/drawing/2014/main" id="{FD16EC68-6A53-4A3B-BBFB-228C4C31F727}"/>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694" name="Text Box 12">
          <a:extLst>
            <a:ext uri="{FF2B5EF4-FFF2-40B4-BE49-F238E27FC236}">
              <a16:creationId xmlns="" xmlns:a16="http://schemas.microsoft.com/office/drawing/2014/main" id="{7918F291-A805-4092-8981-492134FA1A2A}"/>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695" name="Text Box 10">
          <a:extLst>
            <a:ext uri="{FF2B5EF4-FFF2-40B4-BE49-F238E27FC236}">
              <a16:creationId xmlns="" xmlns:a16="http://schemas.microsoft.com/office/drawing/2014/main" id="{6FFCE917-6CB7-47B1-B4C6-1AEDCD8FDB75}"/>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696" name="Text Box 11">
          <a:extLst>
            <a:ext uri="{FF2B5EF4-FFF2-40B4-BE49-F238E27FC236}">
              <a16:creationId xmlns="" xmlns:a16="http://schemas.microsoft.com/office/drawing/2014/main" id="{1EAEFB04-41FB-4B98-8CF0-E5E1163C9DE4}"/>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697" name="Text Box 12">
          <a:extLst>
            <a:ext uri="{FF2B5EF4-FFF2-40B4-BE49-F238E27FC236}">
              <a16:creationId xmlns="" xmlns:a16="http://schemas.microsoft.com/office/drawing/2014/main" id="{892DE4ED-F50B-4ABD-B29E-56BC77EF5FCF}"/>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698" name="Text Box 10">
          <a:extLst>
            <a:ext uri="{FF2B5EF4-FFF2-40B4-BE49-F238E27FC236}">
              <a16:creationId xmlns="" xmlns:a16="http://schemas.microsoft.com/office/drawing/2014/main" id="{CAC2AD9E-6544-40AA-892A-6347A8A4FC08}"/>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699" name="Text Box 11">
          <a:extLst>
            <a:ext uri="{FF2B5EF4-FFF2-40B4-BE49-F238E27FC236}">
              <a16:creationId xmlns="" xmlns:a16="http://schemas.microsoft.com/office/drawing/2014/main" id="{4F5A55BE-CEE4-44C7-BB95-218265660DA3}"/>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700" name="Text Box 12">
          <a:extLst>
            <a:ext uri="{FF2B5EF4-FFF2-40B4-BE49-F238E27FC236}">
              <a16:creationId xmlns="" xmlns:a16="http://schemas.microsoft.com/office/drawing/2014/main" id="{4ECEE9FE-AE5F-457B-BC81-791156FDF34B}"/>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701" name="Text Box 10">
          <a:extLst>
            <a:ext uri="{FF2B5EF4-FFF2-40B4-BE49-F238E27FC236}">
              <a16:creationId xmlns="" xmlns:a16="http://schemas.microsoft.com/office/drawing/2014/main" id="{0482912B-5F42-438A-A699-5B00A9EAEAE1}"/>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702" name="Text Box 11">
          <a:extLst>
            <a:ext uri="{FF2B5EF4-FFF2-40B4-BE49-F238E27FC236}">
              <a16:creationId xmlns="" xmlns:a16="http://schemas.microsoft.com/office/drawing/2014/main" id="{97CA3F77-9525-4D22-80C1-31EBAC4B5D49}"/>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703" name="Text Box 12">
          <a:extLst>
            <a:ext uri="{FF2B5EF4-FFF2-40B4-BE49-F238E27FC236}">
              <a16:creationId xmlns="" xmlns:a16="http://schemas.microsoft.com/office/drawing/2014/main" id="{F8CBDC84-4CE2-4DA1-A676-1861DD6C9A62}"/>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704" name="Text Box 10">
          <a:extLst>
            <a:ext uri="{FF2B5EF4-FFF2-40B4-BE49-F238E27FC236}">
              <a16:creationId xmlns="" xmlns:a16="http://schemas.microsoft.com/office/drawing/2014/main" id="{FC4AC1E1-1ADF-40EA-82E2-6897CE48B77B}"/>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705" name="Text Box 11">
          <a:extLst>
            <a:ext uri="{FF2B5EF4-FFF2-40B4-BE49-F238E27FC236}">
              <a16:creationId xmlns="" xmlns:a16="http://schemas.microsoft.com/office/drawing/2014/main" id="{C823DB92-4CEF-4B6D-A6D3-F250939E11D9}"/>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706" name="Text Box 12">
          <a:extLst>
            <a:ext uri="{FF2B5EF4-FFF2-40B4-BE49-F238E27FC236}">
              <a16:creationId xmlns="" xmlns:a16="http://schemas.microsoft.com/office/drawing/2014/main" id="{67EAFA21-22E1-4D7E-95F0-946D747BDF58}"/>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707" name="Text Box 10">
          <a:extLst>
            <a:ext uri="{FF2B5EF4-FFF2-40B4-BE49-F238E27FC236}">
              <a16:creationId xmlns="" xmlns:a16="http://schemas.microsoft.com/office/drawing/2014/main" id="{21B6BD9A-0DCF-4289-AC27-4F0B35C0CE2C}"/>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708" name="Text Box 11">
          <a:extLst>
            <a:ext uri="{FF2B5EF4-FFF2-40B4-BE49-F238E27FC236}">
              <a16:creationId xmlns="" xmlns:a16="http://schemas.microsoft.com/office/drawing/2014/main" id="{6533A25F-45AB-40B3-A62A-A47982231EFB}"/>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709" name="Text Box 12">
          <a:extLst>
            <a:ext uri="{FF2B5EF4-FFF2-40B4-BE49-F238E27FC236}">
              <a16:creationId xmlns="" xmlns:a16="http://schemas.microsoft.com/office/drawing/2014/main" id="{6D6EB9CC-8AF6-439F-AEA8-7D4DD4C91EA8}"/>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710" name="Text Box 10">
          <a:extLst>
            <a:ext uri="{FF2B5EF4-FFF2-40B4-BE49-F238E27FC236}">
              <a16:creationId xmlns="" xmlns:a16="http://schemas.microsoft.com/office/drawing/2014/main" id="{7E680297-CE9C-40C4-98CD-D766CBF64A25}"/>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711" name="Text Box 11">
          <a:extLst>
            <a:ext uri="{FF2B5EF4-FFF2-40B4-BE49-F238E27FC236}">
              <a16:creationId xmlns="" xmlns:a16="http://schemas.microsoft.com/office/drawing/2014/main" id="{C6126EE3-A2EC-41D5-87D6-2BEDFFA41F05}"/>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712" name="Text Box 12">
          <a:extLst>
            <a:ext uri="{FF2B5EF4-FFF2-40B4-BE49-F238E27FC236}">
              <a16:creationId xmlns="" xmlns:a16="http://schemas.microsoft.com/office/drawing/2014/main" id="{D13CBAD5-42F6-41AD-81A7-F80593D4D732}"/>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713" name="Text Box 10">
          <a:extLst>
            <a:ext uri="{FF2B5EF4-FFF2-40B4-BE49-F238E27FC236}">
              <a16:creationId xmlns="" xmlns:a16="http://schemas.microsoft.com/office/drawing/2014/main" id="{EFDAA7A3-5392-4EB2-A314-0D4A5935C0E1}"/>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714" name="Text Box 11">
          <a:extLst>
            <a:ext uri="{FF2B5EF4-FFF2-40B4-BE49-F238E27FC236}">
              <a16:creationId xmlns="" xmlns:a16="http://schemas.microsoft.com/office/drawing/2014/main" id="{6128F6F5-A1EB-4B1E-8258-FE79E6859C42}"/>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715" name="Text Box 12">
          <a:extLst>
            <a:ext uri="{FF2B5EF4-FFF2-40B4-BE49-F238E27FC236}">
              <a16:creationId xmlns="" xmlns:a16="http://schemas.microsoft.com/office/drawing/2014/main" id="{83636AC8-ABFB-4556-8DF2-8FDA560648FA}"/>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716" name="Text Box 10">
          <a:extLst>
            <a:ext uri="{FF2B5EF4-FFF2-40B4-BE49-F238E27FC236}">
              <a16:creationId xmlns="" xmlns:a16="http://schemas.microsoft.com/office/drawing/2014/main" id="{A92DA006-43D6-4893-BFB3-EBB0DAE17000}"/>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717" name="Text Box 11">
          <a:extLst>
            <a:ext uri="{FF2B5EF4-FFF2-40B4-BE49-F238E27FC236}">
              <a16:creationId xmlns="" xmlns:a16="http://schemas.microsoft.com/office/drawing/2014/main" id="{91538977-1CD5-4084-96D0-F41D06025AA5}"/>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718" name="Text Box 12">
          <a:extLst>
            <a:ext uri="{FF2B5EF4-FFF2-40B4-BE49-F238E27FC236}">
              <a16:creationId xmlns="" xmlns:a16="http://schemas.microsoft.com/office/drawing/2014/main" id="{4BE15EC0-B329-4D4E-BE45-03E61DD8E68C}"/>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719" name="Text Box 10">
          <a:extLst>
            <a:ext uri="{FF2B5EF4-FFF2-40B4-BE49-F238E27FC236}">
              <a16:creationId xmlns="" xmlns:a16="http://schemas.microsoft.com/office/drawing/2014/main" id="{56428F19-E6AE-4E08-9DC1-EC443ED1F52D}"/>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720" name="Text Box 11">
          <a:extLst>
            <a:ext uri="{FF2B5EF4-FFF2-40B4-BE49-F238E27FC236}">
              <a16:creationId xmlns="" xmlns:a16="http://schemas.microsoft.com/office/drawing/2014/main" id="{635682E5-D6D0-4BFB-97CB-5D008A53C37E}"/>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721" name="Text Box 12">
          <a:extLst>
            <a:ext uri="{FF2B5EF4-FFF2-40B4-BE49-F238E27FC236}">
              <a16:creationId xmlns="" xmlns:a16="http://schemas.microsoft.com/office/drawing/2014/main" id="{4499482C-9B3E-460D-A5D9-535CA2B89BF5}"/>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722" name="Text Box 10">
          <a:extLst>
            <a:ext uri="{FF2B5EF4-FFF2-40B4-BE49-F238E27FC236}">
              <a16:creationId xmlns="" xmlns:a16="http://schemas.microsoft.com/office/drawing/2014/main" id="{4828AC6D-BF78-4FDC-9F1E-E7A97A3862DA}"/>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723" name="Text Box 11">
          <a:extLst>
            <a:ext uri="{FF2B5EF4-FFF2-40B4-BE49-F238E27FC236}">
              <a16:creationId xmlns="" xmlns:a16="http://schemas.microsoft.com/office/drawing/2014/main" id="{5E03CDBF-9652-4A19-85B1-6D82715B8A70}"/>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724" name="Text Box 12">
          <a:extLst>
            <a:ext uri="{FF2B5EF4-FFF2-40B4-BE49-F238E27FC236}">
              <a16:creationId xmlns="" xmlns:a16="http://schemas.microsoft.com/office/drawing/2014/main" id="{2F38750E-3444-4DE1-A1E8-7EFF4ED4AED8}"/>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725" name="Text Box 10">
          <a:extLst>
            <a:ext uri="{FF2B5EF4-FFF2-40B4-BE49-F238E27FC236}">
              <a16:creationId xmlns="" xmlns:a16="http://schemas.microsoft.com/office/drawing/2014/main" id="{5BAB8503-BBAC-468E-801F-0CD9C565AA0C}"/>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726" name="Text Box 11">
          <a:extLst>
            <a:ext uri="{FF2B5EF4-FFF2-40B4-BE49-F238E27FC236}">
              <a16:creationId xmlns="" xmlns:a16="http://schemas.microsoft.com/office/drawing/2014/main" id="{50F9643D-CCBC-40CF-AA0F-16F429E8D261}"/>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727" name="Text Box 12">
          <a:extLst>
            <a:ext uri="{FF2B5EF4-FFF2-40B4-BE49-F238E27FC236}">
              <a16:creationId xmlns="" xmlns:a16="http://schemas.microsoft.com/office/drawing/2014/main" id="{42199BBA-5EC2-4E46-89AE-DDBC7D8E4BCB}"/>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728" name="Text Box 10">
          <a:extLst>
            <a:ext uri="{FF2B5EF4-FFF2-40B4-BE49-F238E27FC236}">
              <a16:creationId xmlns="" xmlns:a16="http://schemas.microsoft.com/office/drawing/2014/main" id="{90780005-65C9-4F9C-8FA7-F53A9CB68FD1}"/>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729" name="Text Box 11">
          <a:extLst>
            <a:ext uri="{FF2B5EF4-FFF2-40B4-BE49-F238E27FC236}">
              <a16:creationId xmlns="" xmlns:a16="http://schemas.microsoft.com/office/drawing/2014/main" id="{D3A756CA-5A95-4192-A66F-1672A6838C14}"/>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730" name="Text Box 12">
          <a:extLst>
            <a:ext uri="{FF2B5EF4-FFF2-40B4-BE49-F238E27FC236}">
              <a16:creationId xmlns="" xmlns:a16="http://schemas.microsoft.com/office/drawing/2014/main" id="{5CCB1542-7455-429D-B6C3-DE2714A888A0}"/>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731" name="Text Box 10">
          <a:extLst>
            <a:ext uri="{FF2B5EF4-FFF2-40B4-BE49-F238E27FC236}">
              <a16:creationId xmlns="" xmlns:a16="http://schemas.microsoft.com/office/drawing/2014/main" id="{0AF5C04A-A5EC-4618-A591-427747C9B031}"/>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732" name="Text Box 11">
          <a:extLst>
            <a:ext uri="{FF2B5EF4-FFF2-40B4-BE49-F238E27FC236}">
              <a16:creationId xmlns="" xmlns:a16="http://schemas.microsoft.com/office/drawing/2014/main" id="{9B2B2BD7-397D-4701-B25A-76E87160C119}"/>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733" name="Text Box 12">
          <a:extLst>
            <a:ext uri="{FF2B5EF4-FFF2-40B4-BE49-F238E27FC236}">
              <a16:creationId xmlns="" xmlns:a16="http://schemas.microsoft.com/office/drawing/2014/main" id="{D28D4C50-AD64-4A22-83AB-DB654774CA32}"/>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734" name="Text Box 10">
          <a:extLst>
            <a:ext uri="{FF2B5EF4-FFF2-40B4-BE49-F238E27FC236}">
              <a16:creationId xmlns="" xmlns:a16="http://schemas.microsoft.com/office/drawing/2014/main" id="{D4026325-5407-4E28-AB20-7FC0BD2AC992}"/>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735" name="Text Box 11">
          <a:extLst>
            <a:ext uri="{FF2B5EF4-FFF2-40B4-BE49-F238E27FC236}">
              <a16:creationId xmlns="" xmlns:a16="http://schemas.microsoft.com/office/drawing/2014/main" id="{6BBF616A-BD15-4262-B668-C5CC6ED0C043}"/>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736" name="Text Box 12">
          <a:extLst>
            <a:ext uri="{FF2B5EF4-FFF2-40B4-BE49-F238E27FC236}">
              <a16:creationId xmlns="" xmlns:a16="http://schemas.microsoft.com/office/drawing/2014/main" id="{1BF75C4C-3BD7-439A-B9CE-7C0AC8D4BC5D}"/>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737" name="Text Box 10">
          <a:extLst>
            <a:ext uri="{FF2B5EF4-FFF2-40B4-BE49-F238E27FC236}">
              <a16:creationId xmlns="" xmlns:a16="http://schemas.microsoft.com/office/drawing/2014/main" id="{B432758F-FD29-4A44-BD44-12A614B31636}"/>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738" name="Text Box 11">
          <a:extLst>
            <a:ext uri="{FF2B5EF4-FFF2-40B4-BE49-F238E27FC236}">
              <a16:creationId xmlns="" xmlns:a16="http://schemas.microsoft.com/office/drawing/2014/main" id="{5B8646FF-FB2B-4D84-BA65-B46A55D3C24B}"/>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739" name="Text Box 12">
          <a:extLst>
            <a:ext uri="{FF2B5EF4-FFF2-40B4-BE49-F238E27FC236}">
              <a16:creationId xmlns="" xmlns:a16="http://schemas.microsoft.com/office/drawing/2014/main" id="{A604919B-28A4-494F-95F6-D20DF352E4AB}"/>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740" name="Text Box 10">
          <a:extLst>
            <a:ext uri="{FF2B5EF4-FFF2-40B4-BE49-F238E27FC236}">
              <a16:creationId xmlns="" xmlns:a16="http://schemas.microsoft.com/office/drawing/2014/main" id="{7E7D57BE-1CFB-4C35-879D-67C7FC94F94C}"/>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741" name="Text Box 11">
          <a:extLst>
            <a:ext uri="{FF2B5EF4-FFF2-40B4-BE49-F238E27FC236}">
              <a16:creationId xmlns="" xmlns:a16="http://schemas.microsoft.com/office/drawing/2014/main" id="{9212EF6E-F7F5-43A8-B216-020011C69B4F}"/>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742" name="Text Box 12">
          <a:extLst>
            <a:ext uri="{FF2B5EF4-FFF2-40B4-BE49-F238E27FC236}">
              <a16:creationId xmlns="" xmlns:a16="http://schemas.microsoft.com/office/drawing/2014/main" id="{6859D18E-D89D-4043-8FCA-0C5BF9F537BC}"/>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743" name="Text Box 10">
          <a:extLst>
            <a:ext uri="{FF2B5EF4-FFF2-40B4-BE49-F238E27FC236}">
              <a16:creationId xmlns="" xmlns:a16="http://schemas.microsoft.com/office/drawing/2014/main" id="{B3937AE1-41AC-4966-94E9-1D3E388950FC}"/>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744" name="Text Box 11">
          <a:extLst>
            <a:ext uri="{FF2B5EF4-FFF2-40B4-BE49-F238E27FC236}">
              <a16:creationId xmlns="" xmlns:a16="http://schemas.microsoft.com/office/drawing/2014/main" id="{68A23EF9-ABC5-474D-929C-4A2290AF3454}"/>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745" name="Text Box 12">
          <a:extLst>
            <a:ext uri="{FF2B5EF4-FFF2-40B4-BE49-F238E27FC236}">
              <a16:creationId xmlns="" xmlns:a16="http://schemas.microsoft.com/office/drawing/2014/main" id="{8CDD6313-2D79-49F4-AA28-4BDFE7FF4A25}"/>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746" name="Text Box 10">
          <a:extLst>
            <a:ext uri="{FF2B5EF4-FFF2-40B4-BE49-F238E27FC236}">
              <a16:creationId xmlns="" xmlns:a16="http://schemas.microsoft.com/office/drawing/2014/main" id="{F156C0FD-4EE6-4652-AF85-6381D535EB54}"/>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747" name="Text Box 11">
          <a:extLst>
            <a:ext uri="{FF2B5EF4-FFF2-40B4-BE49-F238E27FC236}">
              <a16:creationId xmlns="" xmlns:a16="http://schemas.microsoft.com/office/drawing/2014/main" id="{45DFAFF5-CFCA-4229-8AAA-715C895617C0}"/>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748" name="Text Box 12">
          <a:extLst>
            <a:ext uri="{FF2B5EF4-FFF2-40B4-BE49-F238E27FC236}">
              <a16:creationId xmlns="" xmlns:a16="http://schemas.microsoft.com/office/drawing/2014/main" id="{2AA4F1B8-6067-4EF6-AFBA-23A23FA98670}"/>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749" name="Text Box 10">
          <a:extLst>
            <a:ext uri="{FF2B5EF4-FFF2-40B4-BE49-F238E27FC236}">
              <a16:creationId xmlns="" xmlns:a16="http://schemas.microsoft.com/office/drawing/2014/main" id="{40F0E48A-E8FF-4A9D-ACE6-FC4DE355D21B}"/>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750" name="Text Box 11">
          <a:extLst>
            <a:ext uri="{FF2B5EF4-FFF2-40B4-BE49-F238E27FC236}">
              <a16:creationId xmlns="" xmlns:a16="http://schemas.microsoft.com/office/drawing/2014/main" id="{B623DC15-BEF8-4092-8448-8C1972B938D7}"/>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751" name="Text Box 12">
          <a:extLst>
            <a:ext uri="{FF2B5EF4-FFF2-40B4-BE49-F238E27FC236}">
              <a16:creationId xmlns="" xmlns:a16="http://schemas.microsoft.com/office/drawing/2014/main" id="{3FE1681A-662A-4828-AF58-0DB2EC1E2932}"/>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752" name="Text Box 10">
          <a:extLst>
            <a:ext uri="{FF2B5EF4-FFF2-40B4-BE49-F238E27FC236}">
              <a16:creationId xmlns="" xmlns:a16="http://schemas.microsoft.com/office/drawing/2014/main" id="{6D3E7AD5-2D67-40E3-9F9C-8BF02DB78431}"/>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753" name="Text Box 11">
          <a:extLst>
            <a:ext uri="{FF2B5EF4-FFF2-40B4-BE49-F238E27FC236}">
              <a16:creationId xmlns="" xmlns:a16="http://schemas.microsoft.com/office/drawing/2014/main" id="{B80E8E31-3CE6-4E60-B878-64467F67A28C}"/>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754" name="Text Box 12">
          <a:extLst>
            <a:ext uri="{FF2B5EF4-FFF2-40B4-BE49-F238E27FC236}">
              <a16:creationId xmlns="" xmlns:a16="http://schemas.microsoft.com/office/drawing/2014/main" id="{E49CA4D4-F23A-407E-B84F-ECE3C2783F66}"/>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755" name="Text Box 10">
          <a:extLst>
            <a:ext uri="{FF2B5EF4-FFF2-40B4-BE49-F238E27FC236}">
              <a16:creationId xmlns="" xmlns:a16="http://schemas.microsoft.com/office/drawing/2014/main" id="{347A6548-CE40-43A3-8253-2F67C31185A1}"/>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756" name="Text Box 11">
          <a:extLst>
            <a:ext uri="{FF2B5EF4-FFF2-40B4-BE49-F238E27FC236}">
              <a16:creationId xmlns="" xmlns:a16="http://schemas.microsoft.com/office/drawing/2014/main" id="{FAAB2523-6A34-4528-9E6C-ADFA1A1B2FAD}"/>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757" name="Text Box 12">
          <a:extLst>
            <a:ext uri="{FF2B5EF4-FFF2-40B4-BE49-F238E27FC236}">
              <a16:creationId xmlns="" xmlns:a16="http://schemas.microsoft.com/office/drawing/2014/main" id="{2F62EE89-7C6F-4F4B-B083-9FF2C53EAFF1}"/>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758" name="Text Box 10">
          <a:extLst>
            <a:ext uri="{FF2B5EF4-FFF2-40B4-BE49-F238E27FC236}">
              <a16:creationId xmlns="" xmlns:a16="http://schemas.microsoft.com/office/drawing/2014/main" id="{C8BEED6A-E799-4707-B63D-57E13A2BED21}"/>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759" name="Text Box 11">
          <a:extLst>
            <a:ext uri="{FF2B5EF4-FFF2-40B4-BE49-F238E27FC236}">
              <a16:creationId xmlns="" xmlns:a16="http://schemas.microsoft.com/office/drawing/2014/main" id="{C6B53273-2D91-4E54-B46A-A583472C4181}"/>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760" name="Text Box 12">
          <a:extLst>
            <a:ext uri="{FF2B5EF4-FFF2-40B4-BE49-F238E27FC236}">
              <a16:creationId xmlns="" xmlns:a16="http://schemas.microsoft.com/office/drawing/2014/main" id="{0B5A71BE-CB06-4296-9528-9E4C553B2CF4}"/>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761" name="Text Box 10">
          <a:extLst>
            <a:ext uri="{FF2B5EF4-FFF2-40B4-BE49-F238E27FC236}">
              <a16:creationId xmlns="" xmlns:a16="http://schemas.microsoft.com/office/drawing/2014/main" id="{D1719CBF-3A22-456F-845A-10CB08EB9387}"/>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762" name="Text Box 11">
          <a:extLst>
            <a:ext uri="{FF2B5EF4-FFF2-40B4-BE49-F238E27FC236}">
              <a16:creationId xmlns="" xmlns:a16="http://schemas.microsoft.com/office/drawing/2014/main" id="{CEF67347-E455-4F86-92D5-13999FB18FF5}"/>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763" name="Text Box 12">
          <a:extLst>
            <a:ext uri="{FF2B5EF4-FFF2-40B4-BE49-F238E27FC236}">
              <a16:creationId xmlns="" xmlns:a16="http://schemas.microsoft.com/office/drawing/2014/main" id="{E22C4581-1BA2-4EAA-B332-BCA1D36C9280}"/>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764" name="Text Box 10">
          <a:extLst>
            <a:ext uri="{FF2B5EF4-FFF2-40B4-BE49-F238E27FC236}">
              <a16:creationId xmlns="" xmlns:a16="http://schemas.microsoft.com/office/drawing/2014/main" id="{0EE1FA9A-2C63-4335-AE8C-B6E7B782DB1E}"/>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765" name="Text Box 11">
          <a:extLst>
            <a:ext uri="{FF2B5EF4-FFF2-40B4-BE49-F238E27FC236}">
              <a16:creationId xmlns="" xmlns:a16="http://schemas.microsoft.com/office/drawing/2014/main" id="{1AB95A93-0B06-45C9-8EB2-057571A9364D}"/>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766" name="Text Box 12">
          <a:extLst>
            <a:ext uri="{FF2B5EF4-FFF2-40B4-BE49-F238E27FC236}">
              <a16:creationId xmlns="" xmlns:a16="http://schemas.microsoft.com/office/drawing/2014/main" id="{B3D624F3-C5AE-4178-A7C2-01D78A6FEA43}"/>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767" name="Text Box 10">
          <a:extLst>
            <a:ext uri="{FF2B5EF4-FFF2-40B4-BE49-F238E27FC236}">
              <a16:creationId xmlns="" xmlns:a16="http://schemas.microsoft.com/office/drawing/2014/main" id="{C1996395-5B1E-41A6-ADF4-61EA312708B5}"/>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768" name="Text Box 11">
          <a:extLst>
            <a:ext uri="{FF2B5EF4-FFF2-40B4-BE49-F238E27FC236}">
              <a16:creationId xmlns="" xmlns:a16="http://schemas.microsoft.com/office/drawing/2014/main" id="{C255B03D-4F10-4B3C-A762-01C50B112378}"/>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769" name="Text Box 12">
          <a:extLst>
            <a:ext uri="{FF2B5EF4-FFF2-40B4-BE49-F238E27FC236}">
              <a16:creationId xmlns="" xmlns:a16="http://schemas.microsoft.com/office/drawing/2014/main" id="{702BA074-01F7-4403-8003-4A6B8BFBA4B6}"/>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770" name="Text Box 10">
          <a:extLst>
            <a:ext uri="{FF2B5EF4-FFF2-40B4-BE49-F238E27FC236}">
              <a16:creationId xmlns="" xmlns:a16="http://schemas.microsoft.com/office/drawing/2014/main" id="{676448EA-F1A8-46CC-B73F-836BC7D8955A}"/>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771" name="Text Box 11">
          <a:extLst>
            <a:ext uri="{FF2B5EF4-FFF2-40B4-BE49-F238E27FC236}">
              <a16:creationId xmlns="" xmlns:a16="http://schemas.microsoft.com/office/drawing/2014/main" id="{672D0921-3222-4CAE-B945-6C2C16B28D5C}"/>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772" name="Text Box 12">
          <a:extLst>
            <a:ext uri="{FF2B5EF4-FFF2-40B4-BE49-F238E27FC236}">
              <a16:creationId xmlns="" xmlns:a16="http://schemas.microsoft.com/office/drawing/2014/main" id="{7BF8906E-A2CA-47F1-8A30-346573EBE35F}"/>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773" name="Text Box 10">
          <a:extLst>
            <a:ext uri="{FF2B5EF4-FFF2-40B4-BE49-F238E27FC236}">
              <a16:creationId xmlns="" xmlns:a16="http://schemas.microsoft.com/office/drawing/2014/main" id="{0B6F61BC-7DDD-4F8B-9E06-D87CA8925403}"/>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774" name="Text Box 11">
          <a:extLst>
            <a:ext uri="{FF2B5EF4-FFF2-40B4-BE49-F238E27FC236}">
              <a16:creationId xmlns="" xmlns:a16="http://schemas.microsoft.com/office/drawing/2014/main" id="{6D96A420-2E02-419D-BCD7-1CC4B3E09F8C}"/>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30</xdr:row>
      <xdr:rowOff>305701</xdr:rowOff>
    </xdr:to>
    <xdr:sp macro="" textlink="">
      <xdr:nvSpPr>
        <xdr:cNvPr id="775" name="Text Box 12">
          <a:extLst>
            <a:ext uri="{FF2B5EF4-FFF2-40B4-BE49-F238E27FC236}">
              <a16:creationId xmlns="" xmlns:a16="http://schemas.microsoft.com/office/drawing/2014/main" id="{D7E0841F-6EAF-4F2D-9D1C-42BDCD6EB2DB}"/>
            </a:ext>
          </a:extLst>
        </xdr:cNvPr>
        <xdr:cNvSpPr txBox="1">
          <a:spLocks noChangeArrowheads="1"/>
        </xdr:cNvSpPr>
      </xdr:nvSpPr>
      <xdr:spPr bwMode="auto">
        <a:xfrm>
          <a:off x="5743575" y="13325475"/>
          <a:ext cx="95250" cy="29561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776" name="Text Box 10">
          <a:extLst>
            <a:ext uri="{FF2B5EF4-FFF2-40B4-BE49-F238E27FC236}">
              <a16:creationId xmlns="" xmlns:a16="http://schemas.microsoft.com/office/drawing/2014/main" id="{77EB472B-CB67-4FE6-9BE3-445307C93B1D}"/>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777" name="Text Box 11">
          <a:extLst>
            <a:ext uri="{FF2B5EF4-FFF2-40B4-BE49-F238E27FC236}">
              <a16:creationId xmlns="" xmlns:a16="http://schemas.microsoft.com/office/drawing/2014/main" id="{874A2CCE-48C6-4396-9B19-41BCF2C7754C}"/>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778" name="Text Box 12">
          <a:extLst>
            <a:ext uri="{FF2B5EF4-FFF2-40B4-BE49-F238E27FC236}">
              <a16:creationId xmlns="" xmlns:a16="http://schemas.microsoft.com/office/drawing/2014/main" id="{169DBE75-C32B-49AD-92E7-7D738088E90F}"/>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85725</xdr:colOff>
      <xdr:row>29</xdr:row>
      <xdr:rowOff>60074</xdr:rowOff>
    </xdr:to>
    <xdr:sp macro="" textlink="">
      <xdr:nvSpPr>
        <xdr:cNvPr id="779" name="Text Box 10">
          <a:extLst>
            <a:ext uri="{FF2B5EF4-FFF2-40B4-BE49-F238E27FC236}">
              <a16:creationId xmlns="" xmlns:a16="http://schemas.microsoft.com/office/drawing/2014/main" id="{11E2FEB9-5466-4117-9F38-B872832B6DDF}"/>
            </a:ext>
          </a:extLst>
        </xdr:cNvPr>
        <xdr:cNvSpPr txBox="1">
          <a:spLocks noChangeArrowheads="1"/>
        </xdr:cNvSpPr>
      </xdr:nvSpPr>
      <xdr:spPr bwMode="auto">
        <a:xfrm>
          <a:off x="5743575" y="13325475"/>
          <a:ext cx="76200" cy="2346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85725</xdr:colOff>
      <xdr:row>29</xdr:row>
      <xdr:rowOff>60074</xdr:rowOff>
    </xdr:to>
    <xdr:sp macro="" textlink="">
      <xdr:nvSpPr>
        <xdr:cNvPr id="780" name="Text Box 11">
          <a:extLst>
            <a:ext uri="{FF2B5EF4-FFF2-40B4-BE49-F238E27FC236}">
              <a16:creationId xmlns="" xmlns:a16="http://schemas.microsoft.com/office/drawing/2014/main" id="{0E054B38-C91D-4A4C-811F-C906549E065F}"/>
            </a:ext>
          </a:extLst>
        </xdr:cNvPr>
        <xdr:cNvSpPr txBox="1">
          <a:spLocks noChangeArrowheads="1"/>
        </xdr:cNvSpPr>
      </xdr:nvSpPr>
      <xdr:spPr bwMode="auto">
        <a:xfrm>
          <a:off x="5743575" y="13325475"/>
          <a:ext cx="76200" cy="2346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85725</xdr:colOff>
      <xdr:row>29</xdr:row>
      <xdr:rowOff>60074</xdr:rowOff>
    </xdr:to>
    <xdr:sp macro="" textlink="">
      <xdr:nvSpPr>
        <xdr:cNvPr id="781" name="Text Box 12">
          <a:extLst>
            <a:ext uri="{FF2B5EF4-FFF2-40B4-BE49-F238E27FC236}">
              <a16:creationId xmlns="" xmlns:a16="http://schemas.microsoft.com/office/drawing/2014/main" id="{BFC632E0-3752-4D30-BB7E-F60568854362}"/>
            </a:ext>
          </a:extLst>
        </xdr:cNvPr>
        <xdr:cNvSpPr txBox="1">
          <a:spLocks noChangeArrowheads="1"/>
        </xdr:cNvSpPr>
      </xdr:nvSpPr>
      <xdr:spPr bwMode="auto">
        <a:xfrm>
          <a:off x="5743575" y="13325475"/>
          <a:ext cx="76200" cy="2346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782" name="Text Box 10">
          <a:extLst>
            <a:ext uri="{FF2B5EF4-FFF2-40B4-BE49-F238E27FC236}">
              <a16:creationId xmlns="" xmlns:a16="http://schemas.microsoft.com/office/drawing/2014/main" id="{2A5B227C-F3D2-4DE2-BA9D-731C3D158C22}"/>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783" name="Text Box 11">
          <a:extLst>
            <a:ext uri="{FF2B5EF4-FFF2-40B4-BE49-F238E27FC236}">
              <a16:creationId xmlns="" xmlns:a16="http://schemas.microsoft.com/office/drawing/2014/main" id="{64FA96BA-11C7-48BC-9917-E1DD06E2D785}"/>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784" name="Text Box 12">
          <a:extLst>
            <a:ext uri="{FF2B5EF4-FFF2-40B4-BE49-F238E27FC236}">
              <a16:creationId xmlns="" xmlns:a16="http://schemas.microsoft.com/office/drawing/2014/main" id="{EC6C4CDB-80E6-4CCC-B5C2-91954353CDA9}"/>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85725</xdr:colOff>
      <xdr:row>29</xdr:row>
      <xdr:rowOff>60074</xdr:rowOff>
    </xdr:to>
    <xdr:sp macro="" textlink="">
      <xdr:nvSpPr>
        <xdr:cNvPr id="785" name="Text Box 10">
          <a:extLst>
            <a:ext uri="{FF2B5EF4-FFF2-40B4-BE49-F238E27FC236}">
              <a16:creationId xmlns="" xmlns:a16="http://schemas.microsoft.com/office/drawing/2014/main" id="{472BB02A-1E15-45D4-B844-5825AE1AAA8A}"/>
            </a:ext>
          </a:extLst>
        </xdr:cNvPr>
        <xdr:cNvSpPr txBox="1">
          <a:spLocks noChangeArrowheads="1"/>
        </xdr:cNvSpPr>
      </xdr:nvSpPr>
      <xdr:spPr bwMode="auto">
        <a:xfrm>
          <a:off x="5743575" y="13325475"/>
          <a:ext cx="76200" cy="2346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85725</xdr:colOff>
      <xdr:row>29</xdr:row>
      <xdr:rowOff>60074</xdr:rowOff>
    </xdr:to>
    <xdr:sp macro="" textlink="">
      <xdr:nvSpPr>
        <xdr:cNvPr id="786" name="Text Box 11">
          <a:extLst>
            <a:ext uri="{FF2B5EF4-FFF2-40B4-BE49-F238E27FC236}">
              <a16:creationId xmlns="" xmlns:a16="http://schemas.microsoft.com/office/drawing/2014/main" id="{4565715F-AD42-45F8-976E-BCE0B32788E3}"/>
            </a:ext>
          </a:extLst>
        </xdr:cNvPr>
        <xdr:cNvSpPr txBox="1">
          <a:spLocks noChangeArrowheads="1"/>
        </xdr:cNvSpPr>
      </xdr:nvSpPr>
      <xdr:spPr bwMode="auto">
        <a:xfrm>
          <a:off x="5743575" y="13325475"/>
          <a:ext cx="76200" cy="2346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85725</xdr:colOff>
      <xdr:row>29</xdr:row>
      <xdr:rowOff>60074</xdr:rowOff>
    </xdr:to>
    <xdr:sp macro="" textlink="">
      <xdr:nvSpPr>
        <xdr:cNvPr id="787" name="Text Box 12">
          <a:extLst>
            <a:ext uri="{FF2B5EF4-FFF2-40B4-BE49-F238E27FC236}">
              <a16:creationId xmlns="" xmlns:a16="http://schemas.microsoft.com/office/drawing/2014/main" id="{5B4C07EF-4D92-4D15-BEED-3B58A404142C}"/>
            </a:ext>
          </a:extLst>
        </xdr:cNvPr>
        <xdr:cNvSpPr txBox="1">
          <a:spLocks noChangeArrowheads="1"/>
        </xdr:cNvSpPr>
      </xdr:nvSpPr>
      <xdr:spPr bwMode="auto">
        <a:xfrm>
          <a:off x="5743575" y="13325475"/>
          <a:ext cx="76200" cy="2346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788" name="Text Box 10">
          <a:extLst>
            <a:ext uri="{FF2B5EF4-FFF2-40B4-BE49-F238E27FC236}">
              <a16:creationId xmlns="" xmlns:a16="http://schemas.microsoft.com/office/drawing/2014/main" id="{2CBF2B72-E95C-401A-90C8-93CC34C2949E}"/>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789" name="Text Box 11">
          <a:extLst>
            <a:ext uri="{FF2B5EF4-FFF2-40B4-BE49-F238E27FC236}">
              <a16:creationId xmlns="" xmlns:a16="http://schemas.microsoft.com/office/drawing/2014/main" id="{078875FC-C787-4EF1-9197-EFCBF7251FE6}"/>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790" name="Text Box 12">
          <a:extLst>
            <a:ext uri="{FF2B5EF4-FFF2-40B4-BE49-F238E27FC236}">
              <a16:creationId xmlns="" xmlns:a16="http://schemas.microsoft.com/office/drawing/2014/main" id="{5B91B085-1DD3-476B-8E70-6030C19522BC}"/>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791" name="Text Box 10">
          <a:extLst>
            <a:ext uri="{FF2B5EF4-FFF2-40B4-BE49-F238E27FC236}">
              <a16:creationId xmlns="" xmlns:a16="http://schemas.microsoft.com/office/drawing/2014/main" id="{6BC11ABE-4A91-47DE-A518-F62A2ADDA70A}"/>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792" name="Text Box 11">
          <a:extLst>
            <a:ext uri="{FF2B5EF4-FFF2-40B4-BE49-F238E27FC236}">
              <a16:creationId xmlns="" xmlns:a16="http://schemas.microsoft.com/office/drawing/2014/main" id="{F54FE93B-C005-4BAE-AF13-A20C886BF68E}"/>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793" name="Text Box 12">
          <a:extLst>
            <a:ext uri="{FF2B5EF4-FFF2-40B4-BE49-F238E27FC236}">
              <a16:creationId xmlns="" xmlns:a16="http://schemas.microsoft.com/office/drawing/2014/main" id="{554C218E-0E77-4226-8884-96B68F930306}"/>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794" name="Text Box 10">
          <a:extLst>
            <a:ext uri="{FF2B5EF4-FFF2-40B4-BE49-F238E27FC236}">
              <a16:creationId xmlns="" xmlns:a16="http://schemas.microsoft.com/office/drawing/2014/main" id="{8B3DF2E3-1E1A-4144-ADC5-C81214BC725C}"/>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795" name="Text Box 11">
          <a:extLst>
            <a:ext uri="{FF2B5EF4-FFF2-40B4-BE49-F238E27FC236}">
              <a16:creationId xmlns="" xmlns:a16="http://schemas.microsoft.com/office/drawing/2014/main" id="{C7708616-935A-4704-95B0-EC95DF067484}"/>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796" name="Text Box 12">
          <a:extLst>
            <a:ext uri="{FF2B5EF4-FFF2-40B4-BE49-F238E27FC236}">
              <a16:creationId xmlns="" xmlns:a16="http://schemas.microsoft.com/office/drawing/2014/main" id="{653247C0-FF17-4B0A-BA3A-7B0B56F8C51C}"/>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797" name="Text Box 10">
          <a:extLst>
            <a:ext uri="{FF2B5EF4-FFF2-40B4-BE49-F238E27FC236}">
              <a16:creationId xmlns="" xmlns:a16="http://schemas.microsoft.com/office/drawing/2014/main" id="{80A12F74-DAA8-4036-B21C-E6DDD824E35E}"/>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798" name="Text Box 11">
          <a:extLst>
            <a:ext uri="{FF2B5EF4-FFF2-40B4-BE49-F238E27FC236}">
              <a16:creationId xmlns="" xmlns:a16="http://schemas.microsoft.com/office/drawing/2014/main" id="{067808A2-6175-41ED-A10F-0E2B5F3AC993}"/>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799" name="Text Box 12">
          <a:extLst>
            <a:ext uri="{FF2B5EF4-FFF2-40B4-BE49-F238E27FC236}">
              <a16:creationId xmlns="" xmlns:a16="http://schemas.microsoft.com/office/drawing/2014/main" id="{A28AF5C8-D1FC-420A-9712-E5A6105DB4AC}"/>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800" name="Text Box 10">
          <a:extLst>
            <a:ext uri="{FF2B5EF4-FFF2-40B4-BE49-F238E27FC236}">
              <a16:creationId xmlns="" xmlns:a16="http://schemas.microsoft.com/office/drawing/2014/main" id="{2096F753-08E9-4462-A58B-CCB25643221D}"/>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801" name="Text Box 11">
          <a:extLst>
            <a:ext uri="{FF2B5EF4-FFF2-40B4-BE49-F238E27FC236}">
              <a16:creationId xmlns="" xmlns:a16="http://schemas.microsoft.com/office/drawing/2014/main" id="{3DFAB5FE-028F-46FD-808A-50202B681C48}"/>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802" name="Text Box 12">
          <a:extLst>
            <a:ext uri="{FF2B5EF4-FFF2-40B4-BE49-F238E27FC236}">
              <a16:creationId xmlns="" xmlns:a16="http://schemas.microsoft.com/office/drawing/2014/main" id="{8E541D95-E461-467E-A2C0-C158EBBE11CA}"/>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85725</xdr:colOff>
      <xdr:row>29</xdr:row>
      <xdr:rowOff>60074</xdr:rowOff>
    </xdr:to>
    <xdr:sp macro="" textlink="">
      <xdr:nvSpPr>
        <xdr:cNvPr id="803" name="Text Box 10">
          <a:extLst>
            <a:ext uri="{FF2B5EF4-FFF2-40B4-BE49-F238E27FC236}">
              <a16:creationId xmlns="" xmlns:a16="http://schemas.microsoft.com/office/drawing/2014/main" id="{2B5A4164-558E-4265-9622-F06B6E32D089}"/>
            </a:ext>
          </a:extLst>
        </xdr:cNvPr>
        <xdr:cNvSpPr txBox="1">
          <a:spLocks noChangeArrowheads="1"/>
        </xdr:cNvSpPr>
      </xdr:nvSpPr>
      <xdr:spPr bwMode="auto">
        <a:xfrm>
          <a:off x="5743575" y="13325475"/>
          <a:ext cx="76200" cy="2346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85725</xdr:colOff>
      <xdr:row>29</xdr:row>
      <xdr:rowOff>60074</xdr:rowOff>
    </xdr:to>
    <xdr:sp macro="" textlink="">
      <xdr:nvSpPr>
        <xdr:cNvPr id="804" name="Text Box 11">
          <a:extLst>
            <a:ext uri="{FF2B5EF4-FFF2-40B4-BE49-F238E27FC236}">
              <a16:creationId xmlns="" xmlns:a16="http://schemas.microsoft.com/office/drawing/2014/main" id="{49CF0739-49B8-4E41-A020-067F8CB26CB7}"/>
            </a:ext>
          </a:extLst>
        </xdr:cNvPr>
        <xdr:cNvSpPr txBox="1">
          <a:spLocks noChangeArrowheads="1"/>
        </xdr:cNvSpPr>
      </xdr:nvSpPr>
      <xdr:spPr bwMode="auto">
        <a:xfrm>
          <a:off x="5743575" y="13325475"/>
          <a:ext cx="76200" cy="2346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85725</xdr:colOff>
      <xdr:row>29</xdr:row>
      <xdr:rowOff>60074</xdr:rowOff>
    </xdr:to>
    <xdr:sp macro="" textlink="">
      <xdr:nvSpPr>
        <xdr:cNvPr id="805" name="Text Box 12">
          <a:extLst>
            <a:ext uri="{FF2B5EF4-FFF2-40B4-BE49-F238E27FC236}">
              <a16:creationId xmlns="" xmlns:a16="http://schemas.microsoft.com/office/drawing/2014/main" id="{10CF5CF1-6105-49BE-AED4-41A3C150A001}"/>
            </a:ext>
          </a:extLst>
        </xdr:cNvPr>
        <xdr:cNvSpPr txBox="1">
          <a:spLocks noChangeArrowheads="1"/>
        </xdr:cNvSpPr>
      </xdr:nvSpPr>
      <xdr:spPr bwMode="auto">
        <a:xfrm>
          <a:off x="5743575" y="13325475"/>
          <a:ext cx="76200" cy="2346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806" name="Text Box 10">
          <a:extLst>
            <a:ext uri="{FF2B5EF4-FFF2-40B4-BE49-F238E27FC236}">
              <a16:creationId xmlns="" xmlns:a16="http://schemas.microsoft.com/office/drawing/2014/main" id="{CC97CF2D-A3D0-4538-9293-6D8A74F8F50F}"/>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807" name="Text Box 11">
          <a:extLst>
            <a:ext uri="{FF2B5EF4-FFF2-40B4-BE49-F238E27FC236}">
              <a16:creationId xmlns="" xmlns:a16="http://schemas.microsoft.com/office/drawing/2014/main" id="{AAC362B2-17A4-4B93-9328-E9BD314E9CC0}"/>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808" name="Text Box 12">
          <a:extLst>
            <a:ext uri="{FF2B5EF4-FFF2-40B4-BE49-F238E27FC236}">
              <a16:creationId xmlns="" xmlns:a16="http://schemas.microsoft.com/office/drawing/2014/main" id="{F7E65D7E-58D8-415E-91A6-0CD06701919E}"/>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85725</xdr:colOff>
      <xdr:row>29</xdr:row>
      <xdr:rowOff>60074</xdr:rowOff>
    </xdr:to>
    <xdr:sp macro="" textlink="">
      <xdr:nvSpPr>
        <xdr:cNvPr id="809" name="Text Box 10">
          <a:extLst>
            <a:ext uri="{FF2B5EF4-FFF2-40B4-BE49-F238E27FC236}">
              <a16:creationId xmlns="" xmlns:a16="http://schemas.microsoft.com/office/drawing/2014/main" id="{43366612-BB98-4B16-84EE-467E04F60539}"/>
            </a:ext>
          </a:extLst>
        </xdr:cNvPr>
        <xdr:cNvSpPr txBox="1">
          <a:spLocks noChangeArrowheads="1"/>
        </xdr:cNvSpPr>
      </xdr:nvSpPr>
      <xdr:spPr bwMode="auto">
        <a:xfrm>
          <a:off x="5743575" y="13325475"/>
          <a:ext cx="76200" cy="2346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85725</xdr:colOff>
      <xdr:row>29</xdr:row>
      <xdr:rowOff>60074</xdr:rowOff>
    </xdr:to>
    <xdr:sp macro="" textlink="">
      <xdr:nvSpPr>
        <xdr:cNvPr id="810" name="Text Box 11">
          <a:extLst>
            <a:ext uri="{FF2B5EF4-FFF2-40B4-BE49-F238E27FC236}">
              <a16:creationId xmlns="" xmlns:a16="http://schemas.microsoft.com/office/drawing/2014/main" id="{78B88F7F-B5D1-47CB-8E1C-7D4A20590A64}"/>
            </a:ext>
          </a:extLst>
        </xdr:cNvPr>
        <xdr:cNvSpPr txBox="1">
          <a:spLocks noChangeArrowheads="1"/>
        </xdr:cNvSpPr>
      </xdr:nvSpPr>
      <xdr:spPr bwMode="auto">
        <a:xfrm>
          <a:off x="5743575" y="13325475"/>
          <a:ext cx="76200" cy="2346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85725</xdr:colOff>
      <xdr:row>29</xdr:row>
      <xdr:rowOff>60074</xdr:rowOff>
    </xdr:to>
    <xdr:sp macro="" textlink="">
      <xdr:nvSpPr>
        <xdr:cNvPr id="811" name="Text Box 12">
          <a:extLst>
            <a:ext uri="{FF2B5EF4-FFF2-40B4-BE49-F238E27FC236}">
              <a16:creationId xmlns="" xmlns:a16="http://schemas.microsoft.com/office/drawing/2014/main" id="{F24975FB-C883-463B-A51E-295FF52C7970}"/>
            </a:ext>
          </a:extLst>
        </xdr:cNvPr>
        <xdr:cNvSpPr txBox="1">
          <a:spLocks noChangeArrowheads="1"/>
        </xdr:cNvSpPr>
      </xdr:nvSpPr>
      <xdr:spPr bwMode="auto">
        <a:xfrm>
          <a:off x="5743575" y="13325475"/>
          <a:ext cx="76200" cy="2346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812" name="Text Box 10">
          <a:extLst>
            <a:ext uri="{FF2B5EF4-FFF2-40B4-BE49-F238E27FC236}">
              <a16:creationId xmlns="" xmlns:a16="http://schemas.microsoft.com/office/drawing/2014/main" id="{D2F3717C-9F10-4B68-B67F-E2091F6395B3}"/>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813" name="Text Box 11">
          <a:extLst>
            <a:ext uri="{FF2B5EF4-FFF2-40B4-BE49-F238E27FC236}">
              <a16:creationId xmlns="" xmlns:a16="http://schemas.microsoft.com/office/drawing/2014/main" id="{51141136-9177-4D47-BF3C-F6574B9EF751}"/>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814" name="Text Box 12">
          <a:extLst>
            <a:ext uri="{FF2B5EF4-FFF2-40B4-BE49-F238E27FC236}">
              <a16:creationId xmlns="" xmlns:a16="http://schemas.microsoft.com/office/drawing/2014/main" id="{38DBDB0B-1AD2-4108-9E7E-336FA43117F4}"/>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815" name="Text Box 10">
          <a:extLst>
            <a:ext uri="{FF2B5EF4-FFF2-40B4-BE49-F238E27FC236}">
              <a16:creationId xmlns="" xmlns:a16="http://schemas.microsoft.com/office/drawing/2014/main" id="{C6D70524-A64E-4B85-9CEF-93F60A8B3C6B}"/>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816" name="Text Box 11">
          <a:extLst>
            <a:ext uri="{FF2B5EF4-FFF2-40B4-BE49-F238E27FC236}">
              <a16:creationId xmlns="" xmlns:a16="http://schemas.microsoft.com/office/drawing/2014/main" id="{3F6190E6-93B9-4841-96DA-99C12619E324}"/>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817" name="Text Box 12">
          <a:extLst>
            <a:ext uri="{FF2B5EF4-FFF2-40B4-BE49-F238E27FC236}">
              <a16:creationId xmlns="" xmlns:a16="http://schemas.microsoft.com/office/drawing/2014/main" id="{91D51ACB-04FA-49E4-8439-A04D9DB37541}"/>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818" name="Text Box 10">
          <a:extLst>
            <a:ext uri="{FF2B5EF4-FFF2-40B4-BE49-F238E27FC236}">
              <a16:creationId xmlns="" xmlns:a16="http://schemas.microsoft.com/office/drawing/2014/main" id="{4C28A5FC-2141-4D11-9B9F-8E3CB7BCB6DC}"/>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819" name="Text Box 11">
          <a:extLst>
            <a:ext uri="{FF2B5EF4-FFF2-40B4-BE49-F238E27FC236}">
              <a16:creationId xmlns="" xmlns:a16="http://schemas.microsoft.com/office/drawing/2014/main" id="{CF923687-1B7C-4B91-A962-C32AF20E5474}"/>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820" name="Text Box 12">
          <a:extLst>
            <a:ext uri="{FF2B5EF4-FFF2-40B4-BE49-F238E27FC236}">
              <a16:creationId xmlns="" xmlns:a16="http://schemas.microsoft.com/office/drawing/2014/main" id="{C1F3BDEC-604F-44BF-833E-6D89343F49C3}"/>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821" name="Text Box 10">
          <a:extLst>
            <a:ext uri="{FF2B5EF4-FFF2-40B4-BE49-F238E27FC236}">
              <a16:creationId xmlns="" xmlns:a16="http://schemas.microsoft.com/office/drawing/2014/main" id="{218AD353-433B-4437-A9C5-D547913B3025}"/>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822" name="Text Box 11">
          <a:extLst>
            <a:ext uri="{FF2B5EF4-FFF2-40B4-BE49-F238E27FC236}">
              <a16:creationId xmlns="" xmlns:a16="http://schemas.microsoft.com/office/drawing/2014/main" id="{474F2F40-C5CC-4BFA-971D-D946AA026E9C}"/>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823" name="Text Box 12">
          <a:extLst>
            <a:ext uri="{FF2B5EF4-FFF2-40B4-BE49-F238E27FC236}">
              <a16:creationId xmlns="" xmlns:a16="http://schemas.microsoft.com/office/drawing/2014/main" id="{8B8773DB-AEBE-46E0-9BA6-F9BD88E2DBCD}"/>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824" name="Text Box 10">
          <a:extLst>
            <a:ext uri="{FF2B5EF4-FFF2-40B4-BE49-F238E27FC236}">
              <a16:creationId xmlns="" xmlns:a16="http://schemas.microsoft.com/office/drawing/2014/main" id="{E891A168-F158-4357-A586-B42DD7446119}"/>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825" name="Text Box 11">
          <a:extLst>
            <a:ext uri="{FF2B5EF4-FFF2-40B4-BE49-F238E27FC236}">
              <a16:creationId xmlns="" xmlns:a16="http://schemas.microsoft.com/office/drawing/2014/main" id="{2FCA46D4-65E2-492F-939B-9524BCA782F3}"/>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826" name="Text Box 12">
          <a:extLst>
            <a:ext uri="{FF2B5EF4-FFF2-40B4-BE49-F238E27FC236}">
              <a16:creationId xmlns="" xmlns:a16="http://schemas.microsoft.com/office/drawing/2014/main" id="{E0DC53DE-DD4A-4F04-AC1E-AEC092DDF123}"/>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827" name="Text Box 10">
          <a:extLst>
            <a:ext uri="{FF2B5EF4-FFF2-40B4-BE49-F238E27FC236}">
              <a16:creationId xmlns="" xmlns:a16="http://schemas.microsoft.com/office/drawing/2014/main" id="{CB3FFDCD-ABF2-4343-8A28-B14405A4D70F}"/>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828" name="Text Box 11">
          <a:extLst>
            <a:ext uri="{FF2B5EF4-FFF2-40B4-BE49-F238E27FC236}">
              <a16:creationId xmlns="" xmlns:a16="http://schemas.microsoft.com/office/drawing/2014/main" id="{2638FACD-CC26-4F6E-9D46-2FB44AE9141B}"/>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829" name="Text Box 12">
          <a:extLst>
            <a:ext uri="{FF2B5EF4-FFF2-40B4-BE49-F238E27FC236}">
              <a16:creationId xmlns="" xmlns:a16="http://schemas.microsoft.com/office/drawing/2014/main" id="{0A6C9476-4946-407A-80FE-66EB41870659}"/>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830" name="Text Box 10">
          <a:extLst>
            <a:ext uri="{FF2B5EF4-FFF2-40B4-BE49-F238E27FC236}">
              <a16:creationId xmlns="" xmlns:a16="http://schemas.microsoft.com/office/drawing/2014/main" id="{F6997FA1-0467-4510-86E4-69F709A7376E}"/>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831" name="Text Box 11">
          <a:extLst>
            <a:ext uri="{FF2B5EF4-FFF2-40B4-BE49-F238E27FC236}">
              <a16:creationId xmlns="" xmlns:a16="http://schemas.microsoft.com/office/drawing/2014/main" id="{42586693-51C3-4739-972B-584A9E8D7218}"/>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832" name="Text Box 12">
          <a:extLst>
            <a:ext uri="{FF2B5EF4-FFF2-40B4-BE49-F238E27FC236}">
              <a16:creationId xmlns="" xmlns:a16="http://schemas.microsoft.com/office/drawing/2014/main" id="{10BD5485-F7C1-4B97-B5BD-AF77CCEA26BF}"/>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833" name="Text Box 10">
          <a:extLst>
            <a:ext uri="{FF2B5EF4-FFF2-40B4-BE49-F238E27FC236}">
              <a16:creationId xmlns="" xmlns:a16="http://schemas.microsoft.com/office/drawing/2014/main" id="{0C13CC1A-B124-449C-97E9-7A6EEC21F5B3}"/>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834" name="Text Box 11">
          <a:extLst>
            <a:ext uri="{FF2B5EF4-FFF2-40B4-BE49-F238E27FC236}">
              <a16:creationId xmlns="" xmlns:a16="http://schemas.microsoft.com/office/drawing/2014/main" id="{B68FF366-FE98-447F-90B0-ADE48ACFE45C}"/>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835" name="Text Box 12">
          <a:extLst>
            <a:ext uri="{FF2B5EF4-FFF2-40B4-BE49-F238E27FC236}">
              <a16:creationId xmlns="" xmlns:a16="http://schemas.microsoft.com/office/drawing/2014/main" id="{F250940E-BFF8-4578-A590-B3EF8A26B233}"/>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836" name="Text Box 10">
          <a:extLst>
            <a:ext uri="{FF2B5EF4-FFF2-40B4-BE49-F238E27FC236}">
              <a16:creationId xmlns="" xmlns:a16="http://schemas.microsoft.com/office/drawing/2014/main" id="{8D2C22FC-9F14-4C48-915A-9F71811A63D7}"/>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837" name="Text Box 11">
          <a:extLst>
            <a:ext uri="{FF2B5EF4-FFF2-40B4-BE49-F238E27FC236}">
              <a16:creationId xmlns="" xmlns:a16="http://schemas.microsoft.com/office/drawing/2014/main" id="{AEDCC29B-EF31-4322-9675-78DDD50110D2}"/>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838" name="Text Box 12">
          <a:extLst>
            <a:ext uri="{FF2B5EF4-FFF2-40B4-BE49-F238E27FC236}">
              <a16:creationId xmlns="" xmlns:a16="http://schemas.microsoft.com/office/drawing/2014/main" id="{F1BBE8CB-E4FA-4E0C-9D8B-23BD4F9E4E56}"/>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839" name="Text Box 10">
          <a:extLst>
            <a:ext uri="{FF2B5EF4-FFF2-40B4-BE49-F238E27FC236}">
              <a16:creationId xmlns="" xmlns:a16="http://schemas.microsoft.com/office/drawing/2014/main" id="{FE2DFD8E-E2A7-4FB4-B08B-A12C8F5456FE}"/>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840" name="Text Box 11">
          <a:extLst>
            <a:ext uri="{FF2B5EF4-FFF2-40B4-BE49-F238E27FC236}">
              <a16:creationId xmlns="" xmlns:a16="http://schemas.microsoft.com/office/drawing/2014/main" id="{DC87A025-B3E6-4B34-83CF-06677FC87D72}"/>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841" name="Text Box 12">
          <a:extLst>
            <a:ext uri="{FF2B5EF4-FFF2-40B4-BE49-F238E27FC236}">
              <a16:creationId xmlns="" xmlns:a16="http://schemas.microsoft.com/office/drawing/2014/main" id="{3C84B63C-4064-46C2-87D5-2C983D24244D}"/>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842" name="Text Box 10">
          <a:extLst>
            <a:ext uri="{FF2B5EF4-FFF2-40B4-BE49-F238E27FC236}">
              <a16:creationId xmlns="" xmlns:a16="http://schemas.microsoft.com/office/drawing/2014/main" id="{752DFBDE-773A-4014-8217-F6451C5E7DD0}"/>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843" name="Text Box 11">
          <a:extLst>
            <a:ext uri="{FF2B5EF4-FFF2-40B4-BE49-F238E27FC236}">
              <a16:creationId xmlns="" xmlns:a16="http://schemas.microsoft.com/office/drawing/2014/main" id="{1999D811-EF29-4290-A682-CC3B49990104}"/>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844" name="Text Box 12">
          <a:extLst>
            <a:ext uri="{FF2B5EF4-FFF2-40B4-BE49-F238E27FC236}">
              <a16:creationId xmlns="" xmlns:a16="http://schemas.microsoft.com/office/drawing/2014/main" id="{B8825EAA-F9F2-4518-9A1C-0B0A8E3CF1D5}"/>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85725</xdr:colOff>
      <xdr:row>29</xdr:row>
      <xdr:rowOff>60074</xdr:rowOff>
    </xdr:to>
    <xdr:sp macro="" textlink="">
      <xdr:nvSpPr>
        <xdr:cNvPr id="845" name="Text Box 10">
          <a:extLst>
            <a:ext uri="{FF2B5EF4-FFF2-40B4-BE49-F238E27FC236}">
              <a16:creationId xmlns="" xmlns:a16="http://schemas.microsoft.com/office/drawing/2014/main" id="{CA99423F-8E97-4E9F-97F4-2C185B261343}"/>
            </a:ext>
          </a:extLst>
        </xdr:cNvPr>
        <xdr:cNvSpPr txBox="1">
          <a:spLocks noChangeArrowheads="1"/>
        </xdr:cNvSpPr>
      </xdr:nvSpPr>
      <xdr:spPr bwMode="auto">
        <a:xfrm>
          <a:off x="5743575" y="13325475"/>
          <a:ext cx="76200" cy="2346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85725</xdr:colOff>
      <xdr:row>29</xdr:row>
      <xdr:rowOff>60074</xdr:rowOff>
    </xdr:to>
    <xdr:sp macro="" textlink="">
      <xdr:nvSpPr>
        <xdr:cNvPr id="846" name="Text Box 11">
          <a:extLst>
            <a:ext uri="{FF2B5EF4-FFF2-40B4-BE49-F238E27FC236}">
              <a16:creationId xmlns="" xmlns:a16="http://schemas.microsoft.com/office/drawing/2014/main" id="{0350F594-1E3B-4B33-A2D9-F0C34DA00B1B}"/>
            </a:ext>
          </a:extLst>
        </xdr:cNvPr>
        <xdr:cNvSpPr txBox="1">
          <a:spLocks noChangeArrowheads="1"/>
        </xdr:cNvSpPr>
      </xdr:nvSpPr>
      <xdr:spPr bwMode="auto">
        <a:xfrm>
          <a:off x="5743575" y="13325475"/>
          <a:ext cx="76200" cy="2346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85725</xdr:colOff>
      <xdr:row>29</xdr:row>
      <xdr:rowOff>60074</xdr:rowOff>
    </xdr:to>
    <xdr:sp macro="" textlink="">
      <xdr:nvSpPr>
        <xdr:cNvPr id="847" name="Text Box 12">
          <a:extLst>
            <a:ext uri="{FF2B5EF4-FFF2-40B4-BE49-F238E27FC236}">
              <a16:creationId xmlns="" xmlns:a16="http://schemas.microsoft.com/office/drawing/2014/main" id="{85A2558B-105C-4C5E-8AAB-96695BE96BEA}"/>
            </a:ext>
          </a:extLst>
        </xdr:cNvPr>
        <xdr:cNvSpPr txBox="1">
          <a:spLocks noChangeArrowheads="1"/>
        </xdr:cNvSpPr>
      </xdr:nvSpPr>
      <xdr:spPr bwMode="auto">
        <a:xfrm>
          <a:off x="5743575" y="13325475"/>
          <a:ext cx="76200" cy="2346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848" name="Text Box 10">
          <a:extLst>
            <a:ext uri="{FF2B5EF4-FFF2-40B4-BE49-F238E27FC236}">
              <a16:creationId xmlns="" xmlns:a16="http://schemas.microsoft.com/office/drawing/2014/main" id="{ECA1055B-828D-462C-9C99-B066C08BC240}"/>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849" name="Text Box 11">
          <a:extLst>
            <a:ext uri="{FF2B5EF4-FFF2-40B4-BE49-F238E27FC236}">
              <a16:creationId xmlns="" xmlns:a16="http://schemas.microsoft.com/office/drawing/2014/main" id="{F6072B22-7FB5-4A06-9D1F-699C950F957E}"/>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850" name="Text Box 12">
          <a:extLst>
            <a:ext uri="{FF2B5EF4-FFF2-40B4-BE49-F238E27FC236}">
              <a16:creationId xmlns="" xmlns:a16="http://schemas.microsoft.com/office/drawing/2014/main" id="{47421058-F16F-4FAA-9EB9-ACA250D3D105}"/>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85725</xdr:colOff>
      <xdr:row>29</xdr:row>
      <xdr:rowOff>60074</xdr:rowOff>
    </xdr:to>
    <xdr:sp macro="" textlink="">
      <xdr:nvSpPr>
        <xdr:cNvPr id="851" name="Text Box 10">
          <a:extLst>
            <a:ext uri="{FF2B5EF4-FFF2-40B4-BE49-F238E27FC236}">
              <a16:creationId xmlns="" xmlns:a16="http://schemas.microsoft.com/office/drawing/2014/main" id="{34BC4075-4654-4A04-81AA-27EF90E96949}"/>
            </a:ext>
          </a:extLst>
        </xdr:cNvPr>
        <xdr:cNvSpPr txBox="1">
          <a:spLocks noChangeArrowheads="1"/>
        </xdr:cNvSpPr>
      </xdr:nvSpPr>
      <xdr:spPr bwMode="auto">
        <a:xfrm>
          <a:off x="5743575" y="13325475"/>
          <a:ext cx="76200" cy="2346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85725</xdr:colOff>
      <xdr:row>29</xdr:row>
      <xdr:rowOff>60074</xdr:rowOff>
    </xdr:to>
    <xdr:sp macro="" textlink="">
      <xdr:nvSpPr>
        <xdr:cNvPr id="852" name="Text Box 11">
          <a:extLst>
            <a:ext uri="{FF2B5EF4-FFF2-40B4-BE49-F238E27FC236}">
              <a16:creationId xmlns="" xmlns:a16="http://schemas.microsoft.com/office/drawing/2014/main" id="{28BC92F4-FC00-441E-9775-FDBA883760AC}"/>
            </a:ext>
          </a:extLst>
        </xdr:cNvPr>
        <xdr:cNvSpPr txBox="1">
          <a:spLocks noChangeArrowheads="1"/>
        </xdr:cNvSpPr>
      </xdr:nvSpPr>
      <xdr:spPr bwMode="auto">
        <a:xfrm>
          <a:off x="5743575" y="13325475"/>
          <a:ext cx="76200" cy="2346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85725</xdr:colOff>
      <xdr:row>29</xdr:row>
      <xdr:rowOff>60074</xdr:rowOff>
    </xdr:to>
    <xdr:sp macro="" textlink="">
      <xdr:nvSpPr>
        <xdr:cNvPr id="853" name="Text Box 12">
          <a:extLst>
            <a:ext uri="{FF2B5EF4-FFF2-40B4-BE49-F238E27FC236}">
              <a16:creationId xmlns="" xmlns:a16="http://schemas.microsoft.com/office/drawing/2014/main" id="{790BF312-763F-4A3C-BFB3-DDE23D2E257D}"/>
            </a:ext>
          </a:extLst>
        </xdr:cNvPr>
        <xdr:cNvSpPr txBox="1">
          <a:spLocks noChangeArrowheads="1"/>
        </xdr:cNvSpPr>
      </xdr:nvSpPr>
      <xdr:spPr bwMode="auto">
        <a:xfrm>
          <a:off x="5743575" y="13325475"/>
          <a:ext cx="76200" cy="2346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854" name="Text Box 10">
          <a:extLst>
            <a:ext uri="{FF2B5EF4-FFF2-40B4-BE49-F238E27FC236}">
              <a16:creationId xmlns="" xmlns:a16="http://schemas.microsoft.com/office/drawing/2014/main" id="{72991AE9-BF4C-477D-8DAC-C66C09D3F7B0}"/>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855" name="Text Box 11">
          <a:extLst>
            <a:ext uri="{FF2B5EF4-FFF2-40B4-BE49-F238E27FC236}">
              <a16:creationId xmlns="" xmlns:a16="http://schemas.microsoft.com/office/drawing/2014/main" id="{77724822-17AD-4D26-8586-762080CFAE51}"/>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856" name="Text Box 12">
          <a:extLst>
            <a:ext uri="{FF2B5EF4-FFF2-40B4-BE49-F238E27FC236}">
              <a16:creationId xmlns="" xmlns:a16="http://schemas.microsoft.com/office/drawing/2014/main" id="{FB859A2B-7BA0-4EB2-B338-38ACA67E1FA5}"/>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857" name="Text Box 10">
          <a:extLst>
            <a:ext uri="{FF2B5EF4-FFF2-40B4-BE49-F238E27FC236}">
              <a16:creationId xmlns="" xmlns:a16="http://schemas.microsoft.com/office/drawing/2014/main" id="{01F2C78A-AFD5-498A-861C-833370FBD1E7}"/>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858" name="Text Box 11">
          <a:extLst>
            <a:ext uri="{FF2B5EF4-FFF2-40B4-BE49-F238E27FC236}">
              <a16:creationId xmlns="" xmlns:a16="http://schemas.microsoft.com/office/drawing/2014/main" id="{F6A09E02-F30D-4365-850F-0083A587BEF8}"/>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859" name="Text Box 12">
          <a:extLst>
            <a:ext uri="{FF2B5EF4-FFF2-40B4-BE49-F238E27FC236}">
              <a16:creationId xmlns="" xmlns:a16="http://schemas.microsoft.com/office/drawing/2014/main" id="{08B8BF15-DF82-4D14-B9B2-D35A281FDC52}"/>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860" name="Text Box 10">
          <a:extLst>
            <a:ext uri="{FF2B5EF4-FFF2-40B4-BE49-F238E27FC236}">
              <a16:creationId xmlns="" xmlns:a16="http://schemas.microsoft.com/office/drawing/2014/main" id="{013FE9DC-3A41-4C9F-986C-51B55ED1FE63}"/>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861" name="Text Box 11">
          <a:extLst>
            <a:ext uri="{FF2B5EF4-FFF2-40B4-BE49-F238E27FC236}">
              <a16:creationId xmlns="" xmlns:a16="http://schemas.microsoft.com/office/drawing/2014/main" id="{D495611F-D436-4E82-AE54-E36625A06F3A}"/>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862" name="Text Box 12">
          <a:extLst>
            <a:ext uri="{FF2B5EF4-FFF2-40B4-BE49-F238E27FC236}">
              <a16:creationId xmlns="" xmlns:a16="http://schemas.microsoft.com/office/drawing/2014/main" id="{016EE18A-EA04-4407-A1A3-8579D2950E7E}"/>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863" name="Text Box 10">
          <a:extLst>
            <a:ext uri="{FF2B5EF4-FFF2-40B4-BE49-F238E27FC236}">
              <a16:creationId xmlns="" xmlns:a16="http://schemas.microsoft.com/office/drawing/2014/main" id="{62EA286E-951A-490D-B1FF-1758FF3E5E15}"/>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864" name="Text Box 11">
          <a:extLst>
            <a:ext uri="{FF2B5EF4-FFF2-40B4-BE49-F238E27FC236}">
              <a16:creationId xmlns="" xmlns:a16="http://schemas.microsoft.com/office/drawing/2014/main" id="{9E04ABE0-591F-4879-80D9-30FDB4E888E7}"/>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865" name="Text Box 12">
          <a:extLst>
            <a:ext uri="{FF2B5EF4-FFF2-40B4-BE49-F238E27FC236}">
              <a16:creationId xmlns="" xmlns:a16="http://schemas.microsoft.com/office/drawing/2014/main" id="{B7363D19-B7CD-4CF4-80FA-B17642C60B1E}"/>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866" name="Text Box 10">
          <a:extLst>
            <a:ext uri="{FF2B5EF4-FFF2-40B4-BE49-F238E27FC236}">
              <a16:creationId xmlns="" xmlns:a16="http://schemas.microsoft.com/office/drawing/2014/main" id="{BFA10F23-0795-4A3D-9464-93AB7CD52DEA}"/>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867" name="Text Box 11">
          <a:extLst>
            <a:ext uri="{FF2B5EF4-FFF2-40B4-BE49-F238E27FC236}">
              <a16:creationId xmlns="" xmlns:a16="http://schemas.microsoft.com/office/drawing/2014/main" id="{2CC52C03-11CB-4598-A90C-F10953F8A597}"/>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868" name="Text Box 12">
          <a:extLst>
            <a:ext uri="{FF2B5EF4-FFF2-40B4-BE49-F238E27FC236}">
              <a16:creationId xmlns="" xmlns:a16="http://schemas.microsoft.com/office/drawing/2014/main" id="{A6C9C25C-C7CB-44BF-A7D7-F25161BE8F82}"/>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869" name="Text Box 10">
          <a:extLst>
            <a:ext uri="{FF2B5EF4-FFF2-40B4-BE49-F238E27FC236}">
              <a16:creationId xmlns="" xmlns:a16="http://schemas.microsoft.com/office/drawing/2014/main" id="{BBE66950-2A3E-4633-AA16-E50B90724ACC}"/>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870" name="Text Box 11">
          <a:extLst>
            <a:ext uri="{FF2B5EF4-FFF2-40B4-BE49-F238E27FC236}">
              <a16:creationId xmlns="" xmlns:a16="http://schemas.microsoft.com/office/drawing/2014/main" id="{F7E4C934-DDE4-43D5-B91F-02EF467132F0}"/>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871" name="Text Box 12">
          <a:extLst>
            <a:ext uri="{FF2B5EF4-FFF2-40B4-BE49-F238E27FC236}">
              <a16:creationId xmlns="" xmlns:a16="http://schemas.microsoft.com/office/drawing/2014/main" id="{0CBB4FAD-89E9-4153-AD95-534115F5BD8C}"/>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872" name="Text Box 10">
          <a:extLst>
            <a:ext uri="{FF2B5EF4-FFF2-40B4-BE49-F238E27FC236}">
              <a16:creationId xmlns="" xmlns:a16="http://schemas.microsoft.com/office/drawing/2014/main" id="{A1C01402-52A9-4E36-A92D-1E810B66BA5A}"/>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873" name="Text Box 11">
          <a:extLst>
            <a:ext uri="{FF2B5EF4-FFF2-40B4-BE49-F238E27FC236}">
              <a16:creationId xmlns="" xmlns:a16="http://schemas.microsoft.com/office/drawing/2014/main" id="{7DC0A18F-E0B0-4BAF-9063-0DA2407D9BC0}"/>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874" name="Text Box 12">
          <a:extLst>
            <a:ext uri="{FF2B5EF4-FFF2-40B4-BE49-F238E27FC236}">
              <a16:creationId xmlns="" xmlns:a16="http://schemas.microsoft.com/office/drawing/2014/main" id="{E65E2E22-CD8D-4178-B1ED-8D568F08E908}"/>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875" name="Text Box 10">
          <a:extLst>
            <a:ext uri="{FF2B5EF4-FFF2-40B4-BE49-F238E27FC236}">
              <a16:creationId xmlns="" xmlns:a16="http://schemas.microsoft.com/office/drawing/2014/main" id="{641B029A-9639-4D7D-BAE3-74B1EC6AFECE}"/>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876" name="Text Box 11">
          <a:extLst>
            <a:ext uri="{FF2B5EF4-FFF2-40B4-BE49-F238E27FC236}">
              <a16:creationId xmlns="" xmlns:a16="http://schemas.microsoft.com/office/drawing/2014/main" id="{B6D0632A-A560-4072-B134-A8047E5535FA}"/>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877" name="Text Box 12">
          <a:extLst>
            <a:ext uri="{FF2B5EF4-FFF2-40B4-BE49-F238E27FC236}">
              <a16:creationId xmlns="" xmlns:a16="http://schemas.microsoft.com/office/drawing/2014/main" id="{9CDB220C-A090-4253-AB6B-DC5587D47413}"/>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878" name="Text Box 10">
          <a:extLst>
            <a:ext uri="{FF2B5EF4-FFF2-40B4-BE49-F238E27FC236}">
              <a16:creationId xmlns="" xmlns:a16="http://schemas.microsoft.com/office/drawing/2014/main" id="{CB23C842-C533-4C84-875D-3C35B1E6ACB8}"/>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879" name="Text Box 11">
          <a:extLst>
            <a:ext uri="{FF2B5EF4-FFF2-40B4-BE49-F238E27FC236}">
              <a16:creationId xmlns="" xmlns:a16="http://schemas.microsoft.com/office/drawing/2014/main" id="{0C1297FA-71EC-430A-9659-58A17151C5A4}"/>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880" name="Text Box 12">
          <a:extLst>
            <a:ext uri="{FF2B5EF4-FFF2-40B4-BE49-F238E27FC236}">
              <a16:creationId xmlns="" xmlns:a16="http://schemas.microsoft.com/office/drawing/2014/main" id="{A9449D5C-AFD3-4943-9E7D-0D3B2992332E}"/>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881" name="Text Box 10">
          <a:extLst>
            <a:ext uri="{FF2B5EF4-FFF2-40B4-BE49-F238E27FC236}">
              <a16:creationId xmlns="" xmlns:a16="http://schemas.microsoft.com/office/drawing/2014/main" id="{48C8AE16-50FA-4F9A-B8B5-8B7CE1C76574}"/>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882" name="Text Box 11">
          <a:extLst>
            <a:ext uri="{FF2B5EF4-FFF2-40B4-BE49-F238E27FC236}">
              <a16:creationId xmlns="" xmlns:a16="http://schemas.microsoft.com/office/drawing/2014/main" id="{E216412B-1D97-4E8B-9BDD-2AB500F8F070}"/>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883" name="Text Box 12">
          <a:extLst>
            <a:ext uri="{FF2B5EF4-FFF2-40B4-BE49-F238E27FC236}">
              <a16:creationId xmlns="" xmlns:a16="http://schemas.microsoft.com/office/drawing/2014/main" id="{3AA55D30-91AC-4AC6-855C-D4CC95AF2A95}"/>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85725</xdr:colOff>
      <xdr:row>29</xdr:row>
      <xdr:rowOff>60074</xdr:rowOff>
    </xdr:to>
    <xdr:sp macro="" textlink="">
      <xdr:nvSpPr>
        <xdr:cNvPr id="884" name="Text Box 10">
          <a:extLst>
            <a:ext uri="{FF2B5EF4-FFF2-40B4-BE49-F238E27FC236}">
              <a16:creationId xmlns="" xmlns:a16="http://schemas.microsoft.com/office/drawing/2014/main" id="{A4530D43-8EDB-4EB5-ACD7-BEAAC9E18F28}"/>
            </a:ext>
          </a:extLst>
        </xdr:cNvPr>
        <xdr:cNvSpPr txBox="1">
          <a:spLocks noChangeArrowheads="1"/>
        </xdr:cNvSpPr>
      </xdr:nvSpPr>
      <xdr:spPr bwMode="auto">
        <a:xfrm>
          <a:off x="5743575" y="13325475"/>
          <a:ext cx="76200" cy="2346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85725</xdr:colOff>
      <xdr:row>29</xdr:row>
      <xdr:rowOff>60074</xdr:rowOff>
    </xdr:to>
    <xdr:sp macro="" textlink="">
      <xdr:nvSpPr>
        <xdr:cNvPr id="885" name="Text Box 11">
          <a:extLst>
            <a:ext uri="{FF2B5EF4-FFF2-40B4-BE49-F238E27FC236}">
              <a16:creationId xmlns="" xmlns:a16="http://schemas.microsoft.com/office/drawing/2014/main" id="{6BCBF71B-2AC4-4BB1-A0F3-CB545043703F}"/>
            </a:ext>
          </a:extLst>
        </xdr:cNvPr>
        <xdr:cNvSpPr txBox="1">
          <a:spLocks noChangeArrowheads="1"/>
        </xdr:cNvSpPr>
      </xdr:nvSpPr>
      <xdr:spPr bwMode="auto">
        <a:xfrm>
          <a:off x="5743575" y="13325475"/>
          <a:ext cx="76200" cy="2346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85725</xdr:colOff>
      <xdr:row>29</xdr:row>
      <xdr:rowOff>60074</xdr:rowOff>
    </xdr:to>
    <xdr:sp macro="" textlink="">
      <xdr:nvSpPr>
        <xdr:cNvPr id="886" name="Text Box 12">
          <a:extLst>
            <a:ext uri="{FF2B5EF4-FFF2-40B4-BE49-F238E27FC236}">
              <a16:creationId xmlns="" xmlns:a16="http://schemas.microsoft.com/office/drawing/2014/main" id="{07C8CC2C-855B-4727-AB5D-E91D867DECA8}"/>
            </a:ext>
          </a:extLst>
        </xdr:cNvPr>
        <xdr:cNvSpPr txBox="1">
          <a:spLocks noChangeArrowheads="1"/>
        </xdr:cNvSpPr>
      </xdr:nvSpPr>
      <xdr:spPr bwMode="auto">
        <a:xfrm>
          <a:off x="5743575" y="13325475"/>
          <a:ext cx="76200" cy="2346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85725</xdr:colOff>
      <xdr:row>29</xdr:row>
      <xdr:rowOff>60074</xdr:rowOff>
    </xdr:to>
    <xdr:sp macro="" textlink="">
      <xdr:nvSpPr>
        <xdr:cNvPr id="887" name="Text Box 10">
          <a:extLst>
            <a:ext uri="{FF2B5EF4-FFF2-40B4-BE49-F238E27FC236}">
              <a16:creationId xmlns="" xmlns:a16="http://schemas.microsoft.com/office/drawing/2014/main" id="{44ECBB5A-CEF9-4C18-A1E2-47A308E6835A}"/>
            </a:ext>
          </a:extLst>
        </xdr:cNvPr>
        <xdr:cNvSpPr txBox="1">
          <a:spLocks noChangeArrowheads="1"/>
        </xdr:cNvSpPr>
      </xdr:nvSpPr>
      <xdr:spPr bwMode="auto">
        <a:xfrm>
          <a:off x="5743575" y="13325475"/>
          <a:ext cx="76200" cy="2346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85725</xdr:colOff>
      <xdr:row>29</xdr:row>
      <xdr:rowOff>60074</xdr:rowOff>
    </xdr:to>
    <xdr:sp macro="" textlink="">
      <xdr:nvSpPr>
        <xdr:cNvPr id="888" name="Text Box 11">
          <a:extLst>
            <a:ext uri="{FF2B5EF4-FFF2-40B4-BE49-F238E27FC236}">
              <a16:creationId xmlns="" xmlns:a16="http://schemas.microsoft.com/office/drawing/2014/main" id="{06558F3A-6BD7-4EBD-98B0-33CC10176112}"/>
            </a:ext>
          </a:extLst>
        </xdr:cNvPr>
        <xdr:cNvSpPr txBox="1">
          <a:spLocks noChangeArrowheads="1"/>
        </xdr:cNvSpPr>
      </xdr:nvSpPr>
      <xdr:spPr bwMode="auto">
        <a:xfrm>
          <a:off x="5743575" y="13325475"/>
          <a:ext cx="76200" cy="2346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85725</xdr:colOff>
      <xdr:row>29</xdr:row>
      <xdr:rowOff>60074</xdr:rowOff>
    </xdr:to>
    <xdr:sp macro="" textlink="">
      <xdr:nvSpPr>
        <xdr:cNvPr id="889" name="Text Box 12">
          <a:extLst>
            <a:ext uri="{FF2B5EF4-FFF2-40B4-BE49-F238E27FC236}">
              <a16:creationId xmlns="" xmlns:a16="http://schemas.microsoft.com/office/drawing/2014/main" id="{AF415A79-DBA5-4C86-8907-06E896A58BB3}"/>
            </a:ext>
          </a:extLst>
        </xdr:cNvPr>
        <xdr:cNvSpPr txBox="1">
          <a:spLocks noChangeArrowheads="1"/>
        </xdr:cNvSpPr>
      </xdr:nvSpPr>
      <xdr:spPr bwMode="auto">
        <a:xfrm>
          <a:off x="5743575" y="13325475"/>
          <a:ext cx="76200" cy="23460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890" name="Text Box 10">
          <a:extLst>
            <a:ext uri="{FF2B5EF4-FFF2-40B4-BE49-F238E27FC236}">
              <a16:creationId xmlns="" xmlns:a16="http://schemas.microsoft.com/office/drawing/2014/main" id="{C23579E0-690D-4412-BA68-A58A8EE81150}"/>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891" name="Text Box 11">
          <a:extLst>
            <a:ext uri="{FF2B5EF4-FFF2-40B4-BE49-F238E27FC236}">
              <a16:creationId xmlns="" xmlns:a16="http://schemas.microsoft.com/office/drawing/2014/main" id="{9718F746-3EB4-4F05-AFFF-BF883318BEBC}"/>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892" name="Text Box 12">
          <a:extLst>
            <a:ext uri="{FF2B5EF4-FFF2-40B4-BE49-F238E27FC236}">
              <a16:creationId xmlns="" xmlns:a16="http://schemas.microsoft.com/office/drawing/2014/main" id="{198608E2-064B-4212-98F7-E4CF00DD2018}"/>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893" name="Text Box 10">
          <a:extLst>
            <a:ext uri="{FF2B5EF4-FFF2-40B4-BE49-F238E27FC236}">
              <a16:creationId xmlns="" xmlns:a16="http://schemas.microsoft.com/office/drawing/2014/main" id="{FE6C3BCC-8D74-4CEF-AF41-4D0A866C1263}"/>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894" name="Text Box 11">
          <a:extLst>
            <a:ext uri="{FF2B5EF4-FFF2-40B4-BE49-F238E27FC236}">
              <a16:creationId xmlns="" xmlns:a16="http://schemas.microsoft.com/office/drawing/2014/main" id="{DA8E3C92-22D0-4DFB-8C8F-997D79FFFA9F}"/>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895" name="Text Box 12">
          <a:extLst>
            <a:ext uri="{FF2B5EF4-FFF2-40B4-BE49-F238E27FC236}">
              <a16:creationId xmlns="" xmlns:a16="http://schemas.microsoft.com/office/drawing/2014/main" id="{46B1B4F9-AA77-4DDD-BA16-51199411D758}"/>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896" name="Text Box 10">
          <a:extLst>
            <a:ext uri="{FF2B5EF4-FFF2-40B4-BE49-F238E27FC236}">
              <a16:creationId xmlns="" xmlns:a16="http://schemas.microsoft.com/office/drawing/2014/main" id="{52265058-C858-4101-A9A7-903C0533A22D}"/>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897" name="Text Box 11">
          <a:extLst>
            <a:ext uri="{FF2B5EF4-FFF2-40B4-BE49-F238E27FC236}">
              <a16:creationId xmlns="" xmlns:a16="http://schemas.microsoft.com/office/drawing/2014/main" id="{7C6302CA-E2B2-42C4-8067-4BB2F7588222}"/>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898" name="Text Box 12">
          <a:extLst>
            <a:ext uri="{FF2B5EF4-FFF2-40B4-BE49-F238E27FC236}">
              <a16:creationId xmlns="" xmlns:a16="http://schemas.microsoft.com/office/drawing/2014/main" id="{56D8C1F5-0FE8-439D-9AF5-39291413DCAC}"/>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899" name="Text Box 10">
          <a:extLst>
            <a:ext uri="{FF2B5EF4-FFF2-40B4-BE49-F238E27FC236}">
              <a16:creationId xmlns="" xmlns:a16="http://schemas.microsoft.com/office/drawing/2014/main" id="{B326A6EE-84B6-4467-B365-1623D1F2D2F4}"/>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900" name="Text Box 11">
          <a:extLst>
            <a:ext uri="{FF2B5EF4-FFF2-40B4-BE49-F238E27FC236}">
              <a16:creationId xmlns="" xmlns:a16="http://schemas.microsoft.com/office/drawing/2014/main" id="{D902EA7F-9A0A-4A84-8974-A478C71E2318}"/>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901" name="Text Box 12">
          <a:extLst>
            <a:ext uri="{FF2B5EF4-FFF2-40B4-BE49-F238E27FC236}">
              <a16:creationId xmlns="" xmlns:a16="http://schemas.microsoft.com/office/drawing/2014/main" id="{23034730-D4A6-442B-AC79-FCB608E4D570}"/>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902" name="Text Box 10">
          <a:extLst>
            <a:ext uri="{FF2B5EF4-FFF2-40B4-BE49-F238E27FC236}">
              <a16:creationId xmlns="" xmlns:a16="http://schemas.microsoft.com/office/drawing/2014/main" id="{1F5A2351-2045-48A7-B68E-79C08EF6E368}"/>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903" name="Text Box 11">
          <a:extLst>
            <a:ext uri="{FF2B5EF4-FFF2-40B4-BE49-F238E27FC236}">
              <a16:creationId xmlns="" xmlns:a16="http://schemas.microsoft.com/office/drawing/2014/main" id="{ACC60849-4104-4574-932C-72E45B4F15FC}"/>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904" name="Text Box 12">
          <a:extLst>
            <a:ext uri="{FF2B5EF4-FFF2-40B4-BE49-F238E27FC236}">
              <a16:creationId xmlns="" xmlns:a16="http://schemas.microsoft.com/office/drawing/2014/main" id="{6ADFAC8F-1B92-451B-A4FB-7F98E25BEE8C}"/>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905" name="Text Box 10">
          <a:extLst>
            <a:ext uri="{FF2B5EF4-FFF2-40B4-BE49-F238E27FC236}">
              <a16:creationId xmlns="" xmlns:a16="http://schemas.microsoft.com/office/drawing/2014/main" id="{F1510D91-32E7-4904-B136-F287C6DDC519}"/>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906" name="Text Box 11">
          <a:extLst>
            <a:ext uri="{FF2B5EF4-FFF2-40B4-BE49-F238E27FC236}">
              <a16:creationId xmlns="" xmlns:a16="http://schemas.microsoft.com/office/drawing/2014/main" id="{7FED0418-C221-49E2-B603-B8A72C82EDE5}"/>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907" name="Text Box 12">
          <a:extLst>
            <a:ext uri="{FF2B5EF4-FFF2-40B4-BE49-F238E27FC236}">
              <a16:creationId xmlns="" xmlns:a16="http://schemas.microsoft.com/office/drawing/2014/main" id="{017B1A12-1529-4D51-A318-49D97F5752B0}"/>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908" name="Text Box 10">
          <a:extLst>
            <a:ext uri="{FF2B5EF4-FFF2-40B4-BE49-F238E27FC236}">
              <a16:creationId xmlns="" xmlns:a16="http://schemas.microsoft.com/office/drawing/2014/main" id="{D70DFA60-82E6-414E-B586-91C22A35CE2B}"/>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909" name="Text Box 11">
          <a:extLst>
            <a:ext uri="{FF2B5EF4-FFF2-40B4-BE49-F238E27FC236}">
              <a16:creationId xmlns="" xmlns:a16="http://schemas.microsoft.com/office/drawing/2014/main" id="{4BB8BE85-695F-42D6-8CA4-77824B5891DD}"/>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910" name="Text Box 12">
          <a:extLst>
            <a:ext uri="{FF2B5EF4-FFF2-40B4-BE49-F238E27FC236}">
              <a16:creationId xmlns="" xmlns:a16="http://schemas.microsoft.com/office/drawing/2014/main" id="{192E30EA-4EF1-4D38-B4DD-E6628692609C}"/>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911" name="Text Box 10">
          <a:extLst>
            <a:ext uri="{FF2B5EF4-FFF2-40B4-BE49-F238E27FC236}">
              <a16:creationId xmlns="" xmlns:a16="http://schemas.microsoft.com/office/drawing/2014/main" id="{CD59722D-B081-43EE-AAB9-D559C7322CCF}"/>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912" name="Text Box 11">
          <a:extLst>
            <a:ext uri="{FF2B5EF4-FFF2-40B4-BE49-F238E27FC236}">
              <a16:creationId xmlns="" xmlns:a16="http://schemas.microsoft.com/office/drawing/2014/main" id="{AA8D82F5-47B4-4EE6-A514-2AECD6E1BE23}"/>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913" name="Text Box 12">
          <a:extLst>
            <a:ext uri="{FF2B5EF4-FFF2-40B4-BE49-F238E27FC236}">
              <a16:creationId xmlns="" xmlns:a16="http://schemas.microsoft.com/office/drawing/2014/main" id="{50C397D1-52EE-4E48-95FC-57E712B33DC9}"/>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914" name="Text Box 10">
          <a:extLst>
            <a:ext uri="{FF2B5EF4-FFF2-40B4-BE49-F238E27FC236}">
              <a16:creationId xmlns="" xmlns:a16="http://schemas.microsoft.com/office/drawing/2014/main" id="{A9FBA4E0-FF20-463D-9929-D424C1C8A8C2}"/>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915" name="Text Box 11">
          <a:extLst>
            <a:ext uri="{FF2B5EF4-FFF2-40B4-BE49-F238E27FC236}">
              <a16:creationId xmlns="" xmlns:a16="http://schemas.microsoft.com/office/drawing/2014/main" id="{E00AB0D9-2E72-4E79-99D4-D90B9D82D04B}"/>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916" name="Text Box 12">
          <a:extLst>
            <a:ext uri="{FF2B5EF4-FFF2-40B4-BE49-F238E27FC236}">
              <a16:creationId xmlns="" xmlns:a16="http://schemas.microsoft.com/office/drawing/2014/main" id="{286401B2-BEE2-4021-B3F8-8B39EE5DA952}"/>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917" name="Text Box 10">
          <a:extLst>
            <a:ext uri="{FF2B5EF4-FFF2-40B4-BE49-F238E27FC236}">
              <a16:creationId xmlns="" xmlns:a16="http://schemas.microsoft.com/office/drawing/2014/main" id="{26580F1E-6C5F-4980-A556-7226961121E9}"/>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918" name="Text Box 11">
          <a:extLst>
            <a:ext uri="{FF2B5EF4-FFF2-40B4-BE49-F238E27FC236}">
              <a16:creationId xmlns="" xmlns:a16="http://schemas.microsoft.com/office/drawing/2014/main" id="{F7755C65-83FA-49F3-B4F3-BCEE3A464EF0}"/>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919" name="Text Box 12">
          <a:extLst>
            <a:ext uri="{FF2B5EF4-FFF2-40B4-BE49-F238E27FC236}">
              <a16:creationId xmlns="" xmlns:a16="http://schemas.microsoft.com/office/drawing/2014/main" id="{BBBFAD2E-E3D9-4C25-9708-0EFE465F6AF8}"/>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920" name="Text Box 10">
          <a:extLst>
            <a:ext uri="{FF2B5EF4-FFF2-40B4-BE49-F238E27FC236}">
              <a16:creationId xmlns="" xmlns:a16="http://schemas.microsoft.com/office/drawing/2014/main" id="{842C8E69-EDC0-4FA0-8F84-69953C2B5D1D}"/>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921" name="Text Box 11">
          <a:extLst>
            <a:ext uri="{FF2B5EF4-FFF2-40B4-BE49-F238E27FC236}">
              <a16:creationId xmlns="" xmlns:a16="http://schemas.microsoft.com/office/drawing/2014/main" id="{4B6FDD02-7E75-4C5F-83A2-E634B378949B}"/>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922" name="Text Box 12">
          <a:extLst>
            <a:ext uri="{FF2B5EF4-FFF2-40B4-BE49-F238E27FC236}">
              <a16:creationId xmlns="" xmlns:a16="http://schemas.microsoft.com/office/drawing/2014/main" id="{0B931E5B-691A-4DC4-B233-9E1CCF3FC83A}"/>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923" name="Text Box 10">
          <a:extLst>
            <a:ext uri="{FF2B5EF4-FFF2-40B4-BE49-F238E27FC236}">
              <a16:creationId xmlns="" xmlns:a16="http://schemas.microsoft.com/office/drawing/2014/main" id="{34600B77-16EA-4C5F-88B7-16BD26BAC68E}"/>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924" name="Text Box 11">
          <a:extLst>
            <a:ext uri="{FF2B5EF4-FFF2-40B4-BE49-F238E27FC236}">
              <a16:creationId xmlns="" xmlns:a16="http://schemas.microsoft.com/office/drawing/2014/main" id="{BD084F69-0B7F-496A-AE9D-AB17583CF225}"/>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925" name="Text Box 12">
          <a:extLst>
            <a:ext uri="{FF2B5EF4-FFF2-40B4-BE49-F238E27FC236}">
              <a16:creationId xmlns="" xmlns:a16="http://schemas.microsoft.com/office/drawing/2014/main" id="{CA7C9B7B-6656-4468-9748-7F4CE9EDDD47}"/>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926" name="Text Box 10">
          <a:extLst>
            <a:ext uri="{FF2B5EF4-FFF2-40B4-BE49-F238E27FC236}">
              <a16:creationId xmlns="" xmlns:a16="http://schemas.microsoft.com/office/drawing/2014/main" id="{ABEA16C6-94BC-485C-A91B-282485716F3E}"/>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927" name="Text Box 11">
          <a:extLst>
            <a:ext uri="{FF2B5EF4-FFF2-40B4-BE49-F238E27FC236}">
              <a16:creationId xmlns="" xmlns:a16="http://schemas.microsoft.com/office/drawing/2014/main" id="{7391F003-E5BE-4C71-B561-AB74B214045B}"/>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928" name="Text Box 12">
          <a:extLst>
            <a:ext uri="{FF2B5EF4-FFF2-40B4-BE49-F238E27FC236}">
              <a16:creationId xmlns="" xmlns:a16="http://schemas.microsoft.com/office/drawing/2014/main" id="{9BD12D50-DDBE-47DB-9ABE-73DB90E21D72}"/>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929" name="Text Box 10">
          <a:extLst>
            <a:ext uri="{FF2B5EF4-FFF2-40B4-BE49-F238E27FC236}">
              <a16:creationId xmlns="" xmlns:a16="http://schemas.microsoft.com/office/drawing/2014/main" id="{D5279A41-8EAC-41B9-9B5E-CA558C032BA9}"/>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930" name="Text Box 11">
          <a:extLst>
            <a:ext uri="{FF2B5EF4-FFF2-40B4-BE49-F238E27FC236}">
              <a16:creationId xmlns="" xmlns:a16="http://schemas.microsoft.com/office/drawing/2014/main" id="{76D00ABF-EB92-4E5C-A646-E34AE1B1FC24}"/>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931" name="Text Box 12">
          <a:extLst>
            <a:ext uri="{FF2B5EF4-FFF2-40B4-BE49-F238E27FC236}">
              <a16:creationId xmlns="" xmlns:a16="http://schemas.microsoft.com/office/drawing/2014/main" id="{FBE5BC01-9A12-4E1A-BD9A-837356929D89}"/>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932" name="Text Box 10">
          <a:extLst>
            <a:ext uri="{FF2B5EF4-FFF2-40B4-BE49-F238E27FC236}">
              <a16:creationId xmlns="" xmlns:a16="http://schemas.microsoft.com/office/drawing/2014/main" id="{AE5F7F3C-E6DE-4C2F-B396-30A51034716D}"/>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933" name="Text Box 11">
          <a:extLst>
            <a:ext uri="{FF2B5EF4-FFF2-40B4-BE49-F238E27FC236}">
              <a16:creationId xmlns="" xmlns:a16="http://schemas.microsoft.com/office/drawing/2014/main" id="{3D94BE29-BD85-46B8-A559-520B54529997}"/>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934" name="Text Box 12">
          <a:extLst>
            <a:ext uri="{FF2B5EF4-FFF2-40B4-BE49-F238E27FC236}">
              <a16:creationId xmlns="" xmlns:a16="http://schemas.microsoft.com/office/drawing/2014/main" id="{4732A6E0-8C42-447A-B472-388BCEE7D4EF}"/>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935" name="Text Box 10">
          <a:extLst>
            <a:ext uri="{FF2B5EF4-FFF2-40B4-BE49-F238E27FC236}">
              <a16:creationId xmlns="" xmlns:a16="http://schemas.microsoft.com/office/drawing/2014/main" id="{664E1DA9-01FA-49CB-9AE0-5C0260967D0C}"/>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936" name="Text Box 11">
          <a:extLst>
            <a:ext uri="{FF2B5EF4-FFF2-40B4-BE49-F238E27FC236}">
              <a16:creationId xmlns="" xmlns:a16="http://schemas.microsoft.com/office/drawing/2014/main" id="{6AD241BC-2BE0-4348-853F-647208D0748A}"/>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937" name="Text Box 12">
          <a:extLst>
            <a:ext uri="{FF2B5EF4-FFF2-40B4-BE49-F238E27FC236}">
              <a16:creationId xmlns="" xmlns:a16="http://schemas.microsoft.com/office/drawing/2014/main" id="{3A1FB24B-E802-4BE3-8DD7-798A33DE5977}"/>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938" name="Text Box 10">
          <a:extLst>
            <a:ext uri="{FF2B5EF4-FFF2-40B4-BE49-F238E27FC236}">
              <a16:creationId xmlns="" xmlns:a16="http://schemas.microsoft.com/office/drawing/2014/main" id="{41ADE694-E78A-4F60-BA54-286402F8F899}"/>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939" name="Text Box 11">
          <a:extLst>
            <a:ext uri="{FF2B5EF4-FFF2-40B4-BE49-F238E27FC236}">
              <a16:creationId xmlns="" xmlns:a16="http://schemas.microsoft.com/office/drawing/2014/main" id="{43AF932E-7FB8-4D22-9848-FA9517B0C631}"/>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940" name="Text Box 12">
          <a:extLst>
            <a:ext uri="{FF2B5EF4-FFF2-40B4-BE49-F238E27FC236}">
              <a16:creationId xmlns="" xmlns:a16="http://schemas.microsoft.com/office/drawing/2014/main" id="{3F7B004F-B95E-4D99-9BF6-D47EEECC3986}"/>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941" name="Text Box 10">
          <a:extLst>
            <a:ext uri="{FF2B5EF4-FFF2-40B4-BE49-F238E27FC236}">
              <a16:creationId xmlns="" xmlns:a16="http://schemas.microsoft.com/office/drawing/2014/main" id="{F0ACEC2B-6EDA-4DA9-B5C9-25CA0EAA96E3}"/>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942" name="Text Box 11">
          <a:extLst>
            <a:ext uri="{FF2B5EF4-FFF2-40B4-BE49-F238E27FC236}">
              <a16:creationId xmlns="" xmlns:a16="http://schemas.microsoft.com/office/drawing/2014/main" id="{074A5452-AFE8-4ECC-9A7D-39CF0F6836C6}"/>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943" name="Text Box 12">
          <a:extLst>
            <a:ext uri="{FF2B5EF4-FFF2-40B4-BE49-F238E27FC236}">
              <a16:creationId xmlns="" xmlns:a16="http://schemas.microsoft.com/office/drawing/2014/main" id="{8FA260E9-7D6E-4BF5-991A-A9A1F2B76D22}"/>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944" name="Text Box 10">
          <a:extLst>
            <a:ext uri="{FF2B5EF4-FFF2-40B4-BE49-F238E27FC236}">
              <a16:creationId xmlns="" xmlns:a16="http://schemas.microsoft.com/office/drawing/2014/main" id="{AEC425CA-DC98-4048-A9EE-18CBFA543083}"/>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945" name="Text Box 11">
          <a:extLst>
            <a:ext uri="{FF2B5EF4-FFF2-40B4-BE49-F238E27FC236}">
              <a16:creationId xmlns="" xmlns:a16="http://schemas.microsoft.com/office/drawing/2014/main" id="{AAEA172E-0046-4D4E-B710-4DE0AB9FC923}"/>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946" name="Text Box 12">
          <a:extLst>
            <a:ext uri="{FF2B5EF4-FFF2-40B4-BE49-F238E27FC236}">
              <a16:creationId xmlns="" xmlns:a16="http://schemas.microsoft.com/office/drawing/2014/main" id="{42FAF16F-FF45-42C0-9D84-DBED8C22A0E7}"/>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947" name="Text Box 10">
          <a:extLst>
            <a:ext uri="{FF2B5EF4-FFF2-40B4-BE49-F238E27FC236}">
              <a16:creationId xmlns="" xmlns:a16="http://schemas.microsoft.com/office/drawing/2014/main" id="{19C226EE-9197-49A0-BF29-6F0588698700}"/>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948" name="Text Box 11">
          <a:extLst>
            <a:ext uri="{FF2B5EF4-FFF2-40B4-BE49-F238E27FC236}">
              <a16:creationId xmlns="" xmlns:a16="http://schemas.microsoft.com/office/drawing/2014/main" id="{BB06D687-5D04-43F1-B2DC-34298D11E59F}"/>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949" name="Text Box 12">
          <a:extLst>
            <a:ext uri="{FF2B5EF4-FFF2-40B4-BE49-F238E27FC236}">
              <a16:creationId xmlns="" xmlns:a16="http://schemas.microsoft.com/office/drawing/2014/main" id="{5252A016-7939-4136-8F41-F12FD9C9D178}"/>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950" name="Text Box 10">
          <a:extLst>
            <a:ext uri="{FF2B5EF4-FFF2-40B4-BE49-F238E27FC236}">
              <a16:creationId xmlns="" xmlns:a16="http://schemas.microsoft.com/office/drawing/2014/main" id="{DB1D8A79-FA5A-426F-B778-1C5D30C2EC09}"/>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951" name="Text Box 11">
          <a:extLst>
            <a:ext uri="{FF2B5EF4-FFF2-40B4-BE49-F238E27FC236}">
              <a16:creationId xmlns="" xmlns:a16="http://schemas.microsoft.com/office/drawing/2014/main" id="{4366D3AA-CF3A-4323-A8C4-FF73A8EF66E5}"/>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952" name="Text Box 12">
          <a:extLst>
            <a:ext uri="{FF2B5EF4-FFF2-40B4-BE49-F238E27FC236}">
              <a16:creationId xmlns="" xmlns:a16="http://schemas.microsoft.com/office/drawing/2014/main" id="{12DE99A6-508A-4025-A9E9-7E4AC7CDE1B2}"/>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953" name="Text Box 10">
          <a:extLst>
            <a:ext uri="{FF2B5EF4-FFF2-40B4-BE49-F238E27FC236}">
              <a16:creationId xmlns="" xmlns:a16="http://schemas.microsoft.com/office/drawing/2014/main" id="{BDD488FC-1935-4510-BAAF-7C2339BCDDB7}"/>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954" name="Text Box 11">
          <a:extLst>
            <a:ext uri="{FF2B5EF4-FFF2-40B4-BE49-F238E27FC236}">
              <a16:creationId xmlns="" xmlns:a16="http://schemas.microsoft.com/office/drawing/2014/main" id="{1031F279-B843-4F34-A8A4-D98735E669F2}"/>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955" name="Text Box 12">
          <a:extLst>
            <a:ext uri="{FF2B5EF4-FFF2-40B4-BE49-F238E27FC236}">
              <a16:creationId xmlns="" xmlns:a16="http://schemas.microsoft.com/office/drawing/2014/main" id="{62C3ACC2-D9EE-449F-A222-009AD6247CD5}"/>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956" name="Text Box 10">
          <a:extLst>
            <a:ext uri="{FF2B5EF4-FFF2-40B4-BE49-F238E27FC236}">
              <a16:creationId xmlns="" xmlns:a16="http://schemas.microsoft.com/office/drawing/2014/main" id="{1CAC200A-6F8D-4824-96EB-11A968933414}"/>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957" name="Text Box 11">
          <a:extLst>
            <a:ext uri="{FF2B5EF4-FFF2-40B4-BE49-F238E27FC236}">
              <a16:creationId xmlns="" xmlns:a16="http://schemas.microsoft.com/office/drawing/2014/main" id="{E8331994-EE20-4D97-9EBA-72A35B16B0F0}"/>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958" name="Text Box 12">
          <a:extLst>
            <a:ext uri="{FF2B5EF4-FFF2-40B4-BE49-F238E27FC236}">
              <a16:creationId xmlns="" xmlns:a16="http://schemas.microsoft.com/office/drawing/2014/main" id="{9D397698-2571-48D4-84FD-17DF28FA0C56}"/>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959" name="Text Box 10">
          <a:extLst>
            <a:ext uri="{FF2B5EF4-FFF2-40B4-BE49-F238E27FC236}">
              <a16:creationId xmlns="" xmlns:a16="http://schemas.microsoft.com/office/drawing/2014/main" id="{4114C6FD-AA93-42C9-AC42-1354E046A153}"/>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960" name="Text Box 11">
          <a:extLst>
            <a:ext uri="{FF2B5EF4-FFF2-40B4-BE49-F238E27FC236}">
              <a16:creationId xmlns="" xmlns:a16="http://schemas.microsoft.com/office/drawing/2014/main" id="{826B3160-9E8B-4620-9BA6-7C1B4B1A66D5}"/>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961" name="Text Box 12">
          <a:extLst>
            <a:ext uri="{FF2B5EF4-FFF2-40B4-BE49-F238E27FC236}">
              <a16:creationId xmlns="" xmlns:a16="http://schemas.microsoft.com/office/drawing/2014/main" id="{0160F82C-F358-42C5-84F6-1B528E59E41D}"/>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962" name="Text Box 10">
          <a:extLst>
            <a:ext uri="{FF2B5EF4-FFF2-40B4-BE49-F238E27FC236}">
              <a16:creationId xmlns="" xmlns:a16="http://schemas.microsoft.com/office/drawing/2014/main" id="{B3782DC2-78F7-4939-885D-F86790F17B0B}"/>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963" name="Text Box 11">
          <a:extLst>
            <a:ext uri="{FF2B5EF4-FFF2-40B4-BE49-F238E27FC236}">
              <a16:creationId xmlns="" xmlns:a16="http://schemas.microsoft.com/office/drawing/2014/main" id="{75368F52-BFB1-4A76-81A6-278425702B3F}"/>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964" name="Text Box 12">
          <a:extLst>
            <a:ext uri="{FF2B5EF4-FFF2-40B4-BE49-F238E27FC236}">
              <a16:creationId xmlns="" xmlns:a16="http://schemas.microsoft.com/office/drawing/2014/main" id="{A9C03DCD-7644-4FB6-AF8F-721930D8B9FC}"/>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965" name="Text Box 10">
          <a:extLst>
            <a:ext uri="{FF2B5EF4-FFF2-40B4-BE49-F238E27FC236}">
              <a16:creationId xmlns="" xmlns:a16="http://schemas.microsoft.com/office/drawing/2014/main" id="{6F5B87CE-4279-42A7-8768-7B8D62C7FA62}"/>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966" name="Text Box 11">
          <a:extLst>
            <a:ext uri="{FF2B5EF4-FFF2-40B4-BE49-F238E27FC236}">
              <a16:creationId xmlns="" xmlns:a16="http://schemas.microsoft.com/office/drawing/2014/main" id="{7C42280A-DA08-4F0B-A6E5-8E8F76B7292F}"/>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967" name="Text Box 12">
          <a:extLst>
            <a:ext uri="{FF2B5EF4-FFF2-40B4-BE49-F238E27FC236}">
              <a16:creationId xmlns="" xmlns:a16="http://schemas.microsoft.com/office/drawing/2014/main" id="{118ACAE9-4FFB-44CA-9B96-C8DC4C041B32}"/>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968" name="Text Box 10">
          <a:extLst>
            <a:ext uri="{FF2B5EF4-FFF2-40B4-BE49-F238E27FC236}">
              <a16:creationId xmlns="" xmlns:a16="http://schemas.microsoft.com/office/drawing/2014/main" id="{B8A24090-04F1-459D-8861-397DF7D9BF2F}"/>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969" name="Text Box 11">
          <a:extLst>
            <a:ext uri="{FF2B5EF4-FFF2-40B4-BE49-F238E27FC236}">
              <a16:creationId xmlns="" xmlns:a16="http://schemas.microsoft.com/office/drawing/2014/main" id="{2D7734F6-E4BE-4EB9-A281-1CA94B719EAC}"/>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970" name="Text Box 12">
          <a:extLst>
            <a:ext uri="{FF2B5EF4-FFF2-40B4-BE49-F238E27FC236}">
              <a16:creationId xmlns="" xmlns:a16="http://schemas.microsoft.com/office/drawing/2014/main" id="{5970E717-E60A-47D1-BFB6-3706CE6307AE}"/>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971" name="Text Box 10">
          <a:extLst>
            <a:ext uri="{FF2B5EF4-FFF2-40B4-BE49-F238E27FC236}">
              <a16:creationId xmlns="" xmlns:a16="http://schemas.microsoft.com/office/drawing/2014/main" id="{B73F4B68-7DA0-4809-9E18-13DFDCBE8317}"/>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972" name="Text Box 11">
          <a:extLst>
            <a:ext uri="{FF2B5EF4-FFF2-40B4-BE49-F238E27FC236}">
              <a16:creationId xmlns="" xmlns:a16="http://schemas.microsoft.com/office/drawing/2014/main" id="{D7C686DE-99C5-4683-BEA4-D350ACB1FF33}"/>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973" name="Text Box 12">
          <a:extLst>
            <a:ext uri="{FF2B5EF4-FFF2-40B4-BE49-F238E27FC236}">
              <a16:creationId xmlns="" xmlns:a16="http://schemas.microsoft.com/office/drawing/2014/main" id="{5D2D7B2F-319A-4966-92EC-A2086761820C}"/>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974" name="Text Box 10">
          <a:extLst>
            <a:ext uri="{FF2B5EF4-FFF2-40B4-BE49-F238E27FC236}">
              <a16:creationId xmlns="" xmlns:a16="http://schemas.microsoft.com/office/drawing/2014/main" id="{1B2E4DB9-9375-4BAF-ADA6-B18A75D5E641}"/>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975" name="Text Box 11">
          <a:extLst>
            <a:ext uri="{FF2B5EF4-FFF2-40B4-BE49-F238E27FC236}">
              <a16:creationId xmlns="" xmlns:a16="http://schemas.microsoft.com/office/drawing/2014/main" id="{17CE9CE1-33F0-48AF-A911-B3728D7B642B}"/>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976" name="Text Box 12">
          <a:extLst>
            <a:ext uri="{FF2B5EF4-FFF2-40B4-BE49-F238E27FC236}">
              <a16:creationId xmlns="" xmlns:a16="http://schemas.microsoft.com/office/drawing/2014/main" id="{2BEF7C58-8568-40C2-9371-C7A9576959BE}"/>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977" name="Text Box 10">
          <a:extLst>
            <a:ext uri="{FF2B5EF4-FFF2-40B4-BE49-F238E27FC236}">
              <a16:creationId xmlns="" xmlns:a16="http://schemas.microsoft.com/office/drawing/2014/main" id="{464C02E0-35D9-4B52-A1F7-C80CF1BB1C0A}"/>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978" name="Text Box 11">
          <a:extLst>
            <a:ext uri="{FF2B5EF4-FFF2-40B4-BE49-F238E27FC236}">
              <a16:creationId xmlns="" xmlns:a16="http://schemas.microsoft.com/office/drawing/2014/main" id="{260A07DA-D4E2-49A9-8E6B-8F7FD60F21F0}"/>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979" name="Text Box 12">
          <a:extLst>
            <a:ext uri="{FF2B5EF4-FFF2-40B4-BE49-F238E27FC236}">
              <a16:creationId xmlns="" xmlns:a16="http://schemas.microsoft.com/office/drawing/2014/main" id="{EC5C16E5-EF30-43A1-94FB-74526B118CC8}"/>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980" name="Text Box 10">
          <a:extLst>
            <a:ext uri="{FF2B5EF4-FFF2-40B4-BE49-F238E27FC236}">
              <a16:creationId xmlns="" xmlns:a16="http://schemas.microsoft.com/office/drawing/2014/main" id="{78C26548-B6EA-4757-A4D3-A5D60C2A2DF3}"/>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981" name="Text Box 11">
          <a:extLst>
            <a:ext uri="{FF2B5EF4-FFF2-40B4-BE49-F238E27FC236}">
              <a16:creationId xmlns="" xmlns:a16="http://schemas.microsoft.com/office/drawing/2014/main" id="{C7794CA5-2EBD-409D-AE9F-21AC1C32EC7B}"/>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982" name="Text Box 12">
          <a:extLst>
            <a:ext uri="{FF2B5EF4-FFF2-40B4-BE49-F238E27FC236}">
              <a16:creationId xmlns="" xmlns:a16="http://schemas.microsoft.com/office/drawing/2014/main" id="{27675EFA-E392-43AF-896B-7DE013305FAA}"/>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983" name="Text Box 10">
          <a:extLst>
            <a:ext uri="{FF2B5EF4-FFF2-40B4-BE49-F238E27FC236}">
              <a16:creationId xmlns="" xmlns:a16="http://schemas.microsoft.com/office/drawing/2014/main" id="{DF1268B6-99AD-4CE5-BC8C-09CB2E1E3DC9}"/>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984" name="Text Box 11">
          <a:extLst>
            <a:ext uri="{FF2B5EF4-FFF2-40B4-BE49-F238E27FC236}">
              <a16:creationId xmlns="" xmlns:a16="http://schemas.microsoft.com/office/drawing/2014/main" id="{467A444D-65F8-4AB6-AEBB-0B45BD4E6F6A}"/>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985" name="Text Box 12">
          <a:extLst>
            <a:ext uri="{FF2B5EF4-FFF2-40B4-BE49-F238E27FC236}">
              <a16:creationId xmlns="" xmlns:a16="http://schemas.microsoft.com/office/drawing/2014/main" id="{2A294DCC-E671-48C8-823B-0F5989BB1F3F}"/>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986" name="Text Box 10">
          <a:extLst>
            <a:ext uri="{FF2B5EF4-FFF2-40B4-BE49-F238E27FC236}">
              <a16:creationId xmlns="" xmlns:a16="http://schemas.microsoft.com/office/drawing/2014/main" id="{4565BC00-4B7A-4356-9F44-9830EB17642B}"/>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987" name="Text Box 11">
          <a:extLst>
            <a:ext uri="{FF2B5EF4-FFF2-40B4-BE49-F238E27FC236}">
              <a16:creationId xmlns="" xmlns:a16="http://schemas.microsoft.com/office/drawing/2014/main" id="{C3754561-0850-4649-9C06-2D5559BAAEAE}"/>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988" name="Text Box 12">
          <a:extLst>
            <a:ext uri="{FF2B5EF4-FFF2-40B4-BE49-F238E27FC236}">
              <a16:creationId xmlns="" xmlns:a16="http://schemas.microsoft.com/office/drawing/2014/main" id="{DB64E1EB-5A9E-4149-BF62-485C7FA2D629}"/>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989" name="Text Box 10">
          <a:extLst>
            <a:ext uri="{FF2B5EF4-FFF2-40B4-BE49-F238E27FC236}">
              <a16:creationId xmlns="" xmlns:a16="http://schemas.microsoft.com/office/drawing/2014/main" id="{94FFBF63-9F5C-4965-ACCD-0AC9F4A2BF26}"/>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990" name="Text Box 11">
          <a:extLst>
            <a:ext uri="{FF2B5EF4-FFF2-40B4-BE49-F238E27FC236}">
              <a16:creationId xmlns="" xmlns:a16="http://schemas.microsoft.com/office/drawing/2014/main" id="{41DFE46A-A88E-4C3D-8175-31AAB322F8A8}"/>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991" name="Text Box 12">
          <a:extLst>
            <a:ext uri="{FF2B5EF4-FFF2-40B4-BE49-F238E27FC236}">
              <a16:creationId xmlns="" xmlns:a16="http://schemas.microsoft.com/office/drawing/2014/main" id="{732721BF-50A0-4E23-B5F5-EF07884BF7EB}"/>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992" name="Text Box 10">
          <a:extLst>
            <a:ext uri="{FF2B5EF4-FFF2-40B4-BE49-F238E27FC236}">
              <a16:creationId xmlns="" xmlns:a16="http://schemas.microsoft.com/office/drawing/2014/main" id="{BE64C2D4-7948-496C-A3D8-0D46A45058A4}"/>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993" name="Text Box 11">
          <a:extLst>
            <a:ext uri="{FF2B5EF4-FFF2-40B4-BE49-F238E27FC236}">
              <a16:creationId xmlns="" xmlns:a16="http://schemas.microsoft.com/office/drawing/2014/main" id="{ABCC93E1-5552-4B8E-A168-D210B8B1F499}"/>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994" name="Text Box 12">
          <a:extLst>
            <a:ext uri="{FF2B5EF4-FFF2-40B4-BE49-F238E27FC236}">
              <a16:creationId xmlns="" xmlns:a16="http://schemas.microsoft.com/office/drawing/2014/main" id="{1DA914B8-EABD-4830-9B5F-66628A088322}"/>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995" name="Text Box 10">
          <a:extLst>
            <a:ext uri="{FF2B5EF4-FFF2-40B4-BE49-F238E27FC236}">
              <a16:creationId xmlns="" xmlns:a16="http://schemas.microsoft.com/office/drawing/2014/main" id="{42A13084-E3CB-4B9D-A623-EA62822D6306}"/>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996" name="Text Box 11">
          <a:extLst>
            <a:ext uri="{FF2B5EF4-FFF2-40B4-BE49-F238E27FC236}">
              <a16:creationId xmlns="" xmlns:a16="http://schemas.microsoft.com/office/drawing/2014/main" id="{1F0AAADB-071D-470F-9853-72F315A82C84}"/>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997" name="Text Box 12">
          <a:extLst>
            <a:ext uri="{FF2B5EF4-FFF2-40B4-BE49-F238E27FC236}">
              <a16:creationId xmlns="" xmlns:a16="http://schemas.microsoft.com/office/drawing/2014/main" id="{DCD45B15-347F-4F50-813F-DF9D8E54FBE6}"/>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998" name="Text Box 10">
          <a:extLst>
            <a:ext uri="{FF2B5EF4-FFF2-40B4-BE49-F238E27FC236}">
              <a16:creationId xmlns="" xmlns:a16="http://schemas.microsoft.com/office/drawing/2014/main" id="{B614627A-AB68-47E6-AAE2-B808DE260A2C}"/>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999" name="Text Box 11">
          <a:extLst>
            <a:ext uri="{FF2B5EF4-FFF2-40B4-BE49-F238E27FC236}">
              <a16:creationId xmlns="" xmlns:a16="http://schemas.microsoft.com/office/drawing/2014/main" id="{735526AE-9A1A-4938-A37F-BBA0DD73E295}"/>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1000" name="Text Box 12">
          <a:extLst>
            <a:ext uri="{FF2B5EF4-FFF2-40B4-BE49-F238E27FC236}">
              <a16:creationId xmlns="" xmlns:a16="http://schemas.microsoft.com/office/drawing/2014/main" id="{5566885A-BFC6-4BDD-B737-7D059C71217E}"/>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1001" name="Text Box 10">
          <a:extLst>
            <a:ext uri="{FF2B5EF4-FFF2-40B4-BE49-F238E27FC236}">
              <a16:creationId xmlns="" xmlns:a16="http://schemas.microsoft.com/office/drawing/2014/main" id="{0F653A4E-E37C-46B5-A212-26F2F658B3D4}"/>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1002" name="Text Box 11">
          <a:extLst>
            <a:ext uri="{FF2B5EF4-FFF2-40B4-BE49-F238E27FC236}">
              <a16:creationId xmlns="" xmlns:a16="http://schemas.microsoft.com/office/drawing/2014/main" id="{0EA181D4-D341-4E61-999A-E224F3E26F70}"/>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1003" name="Text Box 12">
          <a:extLst>
            <a:ext uri="{FF2B5EF4-FFF2-40B4-BE49-F238E27FC236}">
              <a16:creationId xmlns="" xmlns:a16="http://schemas.microsoft.com/office/drawing/2014/main" id="{38076498-CC48-485A-B1D7-92AB01D67608}"/>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1004" name="Text Box 10">
          <a:extLst>
            <a:ext uri="{FF2B5EF4-FFF2-40B4-BE49-F238E27FC236}">
              <a16:creationId xmlns="" xmlns:a16="http://schemas.microsoft.com/office/drawing/2014/main" id="{0B666206-1A62-4E6A-9DD5-8902736B7A96}"/>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1005" name="Text Box 11">
          <a:extLst>
            <a:ext uri="{FF2B5EF4-FFF2-40B4-BE49-F238E27FC236}">
              <a16:creationId xmlns="" xmlns:a16="http://schemas.microsoft.com/office/drawing/2014/main" id="{95D1D0C8-8019-4BF8-A8C4-3EF0120BA4CF}"/>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1006" name="Text Box 12">
          <a:extLst>
            <a:ext uri="{FF2B5EF4-FFF2-40B4-BE49-F238E27FC236}">
              <a16:creationId xmlns="" xmlns:a16="http://schemas.microsoft.com/office/drawing/2014/main" id="{109C3F14-4B88-4A5F-A97D-F0BDD94F6FE7}"/>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1007" name="Text Box 10">
          <a:extLst>
            <a:ext uri="{FF2B5EF4-FFF2-40B4-BE49-F238E27FC236}">
              <a16:creationId xmlns="" xmlns:a16="http://schemas.microsoft.com/office/drawing/2014/main" id="{478CD269-2C19-46CF-B409-FB62E64C73C2}"/>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1008" name="Text Box 11">
          <a:extLst>
            <a:ext uri="{FF2B5EF4-FFF2-40B4-BE49-F238E27FC236}">
              <a16:creationId xmlns="" xmlns:a16="http://schemas.microsoft.com/office/drawing/2014/main" id="{AA8964B8-4C2D-4853-999D-AE406DACEA4F}"/>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1009" name="Text Box 12">
          <a:extLst>
            <a:ext uri="{FF2B5EF4-FFF2-40B4-BE49-F238E27FC236}">
              <a16:creationId xmlns="" xmlns:a16="http://schemas.microsoft.com/office/drawing/2014/main" id="{7D0D5D5E-00D4-4C41-BDA1-27818CC4A094}"/>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1010" name="Text Box 10">
          <a:extLst>
            <a:ext uri="{FF2B5EF4-FFF2-40B4-BE49-F238E27FC236}">
              <a16:creationId xmlns="" xmlns:a16="http://schemas.microsoft.com/office/drawing/2014/main" id="{D57771C4-7919-4547-B778-3AA970C903C8}"/>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1011" name="Text Box 11">
          <a:extLst>
            <a:ext uri="{FF2B5EF4-FFF2-40B4-BE49-F238E27FC236}">
              <a16:creationId xmlns="" xmlns:a16="http://schemas.microsoft.com/office/drawing/2014/main" id="{61A4B901-3CAD-4529-AF1C-AD5677E99651}"/>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1012" name="Text Box 12">
          <a:extLst>
            <a:ext uri="{FF2B5EF4-FFF2-40B4-BE49-F238E27FC236}">
              <a16:creationId xmlns="" xmlns:a16="http://schemas.microsoft.com/office/drawing/2014/main" id="{D95A8995-379A-475B-98DD-C15430C63D2D}"/>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1013" name="Text Box 10">
          <a:extLst>
            <a:ext uri="{FF2B5EF4-FFF2-40B4-BE49-F238E27FC236}">
              <a16:creationId xmlns="" xmlns:a16="http://schemas.microsoft.com/office/drawing/2014/main" id="{49A2FB7F-490A-42B9-994A-51B4FAD95201}"/>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1014" name="Text Box 11">
          <a:extLst>
            <a:ext uri="{FF2B5EF4-FFF2-40B4-BE49-F238E27FC236}">
              <a16:creationId xmlns="" xmlns:a16="http://schemas.microsoft.com/office/drawing/2014/main" id="{57633E2D-912C-4DB8-A96A-0EC145FE812A}"/>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1015" name="Text Box 12">
          <a:extLst>
            <a:ext uri="{FF2B5EF4-FFF2-40B4-BE49-F238E27FC236}">
              <a16:creationId xmlns="" xmlns:a16="http://schemas.microsoft.com/office/drawing/2014/main" id="{6B3AD95B-83ED-40FF-ADBB-5DE9AD9FFA3B}"/>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1016" name="Text Box 10">
          <a:extLst>
            <a:ext uri="{FF2B5EF4-FFF2-40B4-BE49-F238E27FC236}">
              <a16:creationId xmlns="" xmlns:a16="http://schemas.microsoft.com/office/drawing/2014/main" id="{27472928-D9D9-4E4B-BB82-1A7A25FD628B}"/>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1017" name="Text Box 11">
          <a:extLst>
            <a:ext uri="{FF2B5EF4-FFF2-40B4-BE49-F238E27FC236}">
              <a16:creationId xmlns="" xmlns:a16="http://schemas.microsoft.com/office/drawing/2014/main" id="{D713782F-DD1E-4327-A5A4-7325397F9D2A}"/>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1018" name="Text Box 12">
          <a:extLst>
            <a:ext uri="{FF2B5EF4-FFF2-40B4-BE49-F238E27FC236}">
              <a16:creationId xmlns="" xmlns:a16="http://schemas.microsoft.com/office/drawing/2014/main" id="{682B915F-A32F-4D3C-B6E9-AA9A48ADAC11}"/>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1019" name="Text Box 10">
          <a:extLst>
            <a:ext uri="{FF2B5EF4-FFF2-40B4-BE49-F238E27FC236}">
              <a16:creationId xmlns="" xmlns:a16="http://schemas.microsoft.com/office/drawing/2014/main" id="{13118523-1669-4D89-9221-8B5690384843}"/>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1020" name="Text Box 11">
          <a:extLst>
            <a:ext uri="{FF2B5EF4-FFF2-40B4-BE49-F238E27FC236}">
              <a16:creationId xmlns="" xmlns:a16="http://schemas.microsoft.com/office/drawing/2014/main" id="{B7ED6AEB-6E80-4849-A30A-FBF09A67EACB}"/>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1021" name="Text Box 12">
          <a:extLst>
            <a:ext uri="{FF2B5EF4-FFF2-40B4-BE49-F238E27FC236}">
              <a16:creationId xmlns="" xmlns:a16="http://schemas.microsoft.com/office/drawing/2014/main" id="{64C258A5-7E75-46E1-8937-89E47D459775}"/>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1022" name="Text Box 10">
          <a:extLst>
            <a:ext uri="{FF2B5EF4-FFF2-40B4-BE49-F238E27FC236}">
              <a16:creationId xmlns="" xmlns:a16="http://schemas.microsoft.com/office/drawing/2014/main" id="{618C8CC3-58A9-45BC-BE9D-AB7ECC81747A}"/>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1023" name="Text Box 11">
          <a:extLst>
            <a:ext uri="{FF2B5EF4-FFF2-40B4-BE49-F238E27FC236}">
              <a16:creationId xmlns="" xmlns:a16="http://schemas.microsoft.com/office/drawing/2014/main" id="{7DF26F70-61A5-496F-9C6C-264ED5547722}"/>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1024" name="Text Box 12">
          <a:extLst>
            <a:ext uri="{FF2B5EF4-FFF2-40B4-BE49-F238E27FC236}">
              <a16:creationId xmlns="" xmlns:a16="http://schemas.microsoft.com/office/drawing/2014/main" id="{F430F212-43B7-4D82-95FC-4F66039B29C1}"/>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1025" name="Text Box 10">
          <a:extLst>
            <a:ext uri="{FF2B5EF4-FFF2-40B4-BE49-F238E27FC236}">
              <a16:creationId xmlns="" xmlns:a16="http://schemas.microsoft.com/office/drawing/2014/main" id="{7922F08C-B662-4654-9B0C-4BE3F25AF555}"/>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1026" name="Text Box 11">
          <a:extLst>
            <a:ext uri="{FF2B5EF4-FFF2-40B4-BE49-F238E27FC236}">
              <a16:creationId xmlns="" xmlns:a16="http://schemas.microsoft.com/office/drawing/2014/main" id="{D44E1686-D653-4F75-B150-CB6485FE0910}"/>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1027" name="Text Box 12">
          <a:extLst>
            <a:ext uri="{FF2B5EF4-FFF2-40B4-BE49-F238E27FC236}">
              <a16:creationId xmlns="" xmlns:a16="http://schemas.microsoft.com/office/drawing/2014/main" id="{8E0B0F93-966D-49EF-8953-8D0DBA125B98}"/>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1028" name="Text Box 10">
          <a:extLst>
            <a:ext uri="{FF2B5EF4-FFF2-40B4-BE49-F238E27FC236}">
              <a16:creationId xmlns="" xmlns:a16="http://schemas.microsoft.com/office/drawing/2014/main" id="{82C86030-713C-4B1C-95CD-E272F61E80F1}"/>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1029" name="Text Box 11">
          <a:extLst>
            <a:ext uri="{FF2B5EF4-FFF2-40B4-BE49-F238E27FC236}">
              <a16:creationId xmlns="" xmlns:a16="http://schemas.microsoft.com/office/drawing/2014/main" id="{B62959E9-61DD-4F21-946A-43DC840742C9}"/>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1030" name="Text Box 12">
          <a:extLst>
            <a:ext uri="{FF2B5EF4-FFF2-40B4-BE49-F238E27FC236}">
              <a16:creationId xmlns="" xmlns:a16="http://schemas.microsoft.com/office/drawing/2014/main" id="{EA19B89F-8092-457E-B223-9394AB04033A}"/>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1031" name="Text Box 10">
          <a:extLst>
            <a:ext uri="{FF2B5EF4-FFF2-40B4-BE49-F238E27FC236}">
              <a16:creationId xmlns="" xmlns:a16="http://schemas.microsoft.com/office/drawing/2014/main" id="{9D0ABCB7-EC0B-4BFD-802D-3F3BCB881118}"/>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1032" name="Text Box 11">
          <a:extLst>
            <a:ext uri="{FF2B5EF4-FFF2-40B4-BE49-F238E27FC236}">
              <a16:creationId xmlns="" xmlns:a16="http://schemas.microsoft.com/office/drawing/2014/main" id="{67B65EC9-202D-4952-B611-199471D4812E}"/>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1033" name="Text Box 12">
          <a:extLst>
            <a:ext uri="{FF2B5EF4-FFF2-40B4-BE49-F238E27FC236}">
              <a16:creationId xmlns="" xmlns:a16="http://schemas.microsoft.com/office/drawing/2014/main" id="{8CE9ABDD-CD2F-43DF-9D99-E25981B90BB0}"/>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1034" name="Text Box 10">
          <a:extLst>
            <a:ext uri="{FF2B5EF4-FFF2-40B4-BE49-F238E27FC236}">
              <a16:creationId xmlns="" xmlns:a16="http://schemas.microsoft.com/office/drawing/2014/main" id="{1D217D45-E254-4E7C-B284-D60E88F858B6}"/>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1035" name="Text Box 11">
          <a:extLst>
            <a:ext uri="{FF2B5EF4-FFF2-40B4-BE49-F238E27FC236}">
              <a16:creationId xmlns="" xmlns:a16="http://schemas.microsoft.com/office/drawing/2014/main" id="{32BE6E1D-D929-44FA-BA64-A9B44C2F9DDA}"/>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1036" name="Text Box 12">
          <a:extLst>
            <a:ext uri="{FF2B5EF4-FFF2-40B4-BE49-F238E27FC236}">
              <a16:creationId xmlns="" xmlns:a16="http://schemas.microsoft.com/office/drawing/2014/main" id="{197AA6D7-4571-4C67-BAB6-67A367060C0F}"/>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1037" name="Text Box 10">
          <a:extLst>
            <a:ext uri="{FF2B5EF4-FFF2-40B4-BE49-F238E27FC236}">
              <a16:creationId xmlns="" xmlns:a16="http://schemas.microsoft.com/office/drawing/2014/main" id="{BA60FE09-1CC2-4763-AB84-84593EE9CFE4}"/>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1038" name="Text Box 11">
          <a:extLst>
            <a:ext uri="{FF2B5EF4-FFF2-40B4-BE49-F238E27FC236}">
              <a16:creationId xmlns="" xmlns:a16="http://schemas.microsoft.com/office/drawing/2014/main" id="{E5A858A6-6220-4BF5-A1D9-2865ECFC9880}"/>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1039" name="Text Box 12">
          <a:extLst>
            <a:ext uri="{FF2B5EF4-FFF2-40B4-BE49-F238E27FC236}">
              <a16:creationId xmlns="" xmlns:a16="http://schemas.microsoft.com/office/drawing/2014/main" id="{9AF99351-7458-4F4E-9AD9-25968AA40ECF}"/>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1040" name="Text Box 10">
          <a:extLst>
            <a:ext uri="{FF2B5EF4-FFF2-40B4-BE49-F238E27FC236}">
              <a16:creationId xmlns="" xmlns:a16="http://schemas.microsoft.com/office/drawing/2014/main" id="{A2825CC5-25B2-4ECB-BE27-B3C218CEB236}"/>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1041" name="Text Box 11">
          <a:extLst>
            <a:ext uri="{FF2B5EF4-FFF2-40B4-BE49-F238E27FC236}">
              <a16:creationId xmlns="" xmlns:a16="http://schemas.microsoft.com/office/drawing/2014/main" id="{AA878835-1658-488F-9B8F-8AFA888DB360}"/>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1042" name="Text Box 12">
          <a:extLst>
            <a:ext uri="{FF2B5EF4-FFF2-40B4-BE49-F238E27FC236}">
              <a16:creationId xmlns="" xmlns:a16="http://schemas.microsoft.com/office/drawing/2014/main" id="{C89F5CDA-7E27-4A52-9C93-EF6A4CA76C98}"/>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1043" name="Text Box 10">
          <a:extLst>
            <a:ext uri="{FF2B5EF4-FFF2-40B4-BE49-F238E27FC236}">
              <a16:creationId xmlns="" xmlns:a16="http://schemas.microsoft.com/office/drawing/2014/main" id="{23ECDEA7-1A2F-4DD8-A7A1-B57885CC9988}"/>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1044" name="Text Box 11">
          <a:extLst>
            <a:ext uri="{FF2B5EF4-FFF2-40B4-BE49-F238E27FC236}">
              <a16:creationId xmlns="" xmlns:a16="http://schemas.microsoft.com/office/drawing/2014/main" id="{C28E4B9F-17B1-4E77-B8C8-D3A34C2903B0}"/>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1045" name="Text Box 12">
          <a:extLst>
            <a:ext uri="{FF2B5EF4-FFF2-40B4-BE49-F238E27FC236}">
              <a16:creationId xmlns="" xmlns:a16="http://schemas.microsoft.com/office/drawing/2014/main" id="{9103B132-07F0-4508-B428-3FB9606C5287}"/>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1046" name="Text Box 10">
          <a:extLst>
            <a:ext uri="{FF2B5EF4-FFF2-40B4-BE49-F238E27FC236}">
              <a16:creationId xmlns="" xmlns:a16="http://schemas.microsoft.com/office/drawing/2014/main" id="{4CDFA260-3997-44FA-8C0D-E6AE20854D9C}"/>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1047" name="Text Box 11">
          <a:extLst>
            <a:ext uri="{FF2B5EF4-FFF2-40B4-BE49-F238E27FC236}">
              <a16:creationId xmlns="" xmlns:a16="http://schemas.microsoft.com/office/drawing/2014/main" id="{29AAF141-52EC-4920-956F-5D02CA1B5300}"/>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1048" name="Text Box 12">
          <a:extLst>
            <a:ext uri="{FF2B5EF4-FFF2-40B4-BE49-F238E27FC236}">
              <a16:creationId xmlns="" xmlns:a16="http://schemas.microsoft.com/office/drawing/2014/main" id="{BAD2E404-8BF3-461A-963B-82D628D5E168}"/>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1049" name="Text Box 10">
          <a:extLst>
            <a:ext uri="{FF2B5EF4-FFF2-40B4-BE49-F238E27FC236}">
              <a16:creationId xmlns="" xmlns:a16="http://schemas.microsoft.com/office/drawing/2014/main" id="{C329D9A6-2E58-401B-B3D0-56AE9FC68217}"/>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1050" name="Text Box 11">
          <a:extLst>
            <a:ext uri="{FF2B5EF4-FFF2-40B4-BE49-F238E27FC236}">
              <a16:creationId xmlns="" xmlns:a16="http://schemas.microsoft.com/office/drawing/2014/main" id="{FFE9392F-50BD-4D3C-B63B-636ED1169261}"/>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1051" name="Text Box 12">
          <a:extLst>
            <a:ext uri="{FF2B5EF4-FFF2-40B4-BE49-F238E27FC236}">
              <a16:creationId xmlns="" xmlns:a16="http://schemas.microsoft.com/office/drawing/2014/main" id="{F821D8C9-E286-4655-B099-5C8AA5C89DDD}"/>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1052" name="Text Box 10">
          <a:extLst>
            <a:ext uri="{FF2B5EF4-FFF2-40B4-BE49-F238E27FC236}">
              <a16:creationId xmlns="" xmlns:a16="http://schemas.microsoft.com/office/drawing/2014/main" id="{DC513521-99C2-48FA-9FC7-CB1A33CF7FC9}"/>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1053" name="Text Box 11">
          <a:extLst>
            <a:ext uri="{FF2B5EF4-FFF2-40B4-BE49-F238E27FC236}">
              <a16:creationId xmlns="" xmlns:a16="http://schemas.microsoft.com/office/drawing/2014/main" id="{150BEF0F-64FC-45A3-926C-CAF6E3528F43}"/>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1054" name="Text Box 12">
          <a:extLst>
            <a:ext uri="{FF2B5EF4-FFF2-40B4-BE49-F238E27FC236}">
              <a16:creationId xmlns="" xmlns:a16="http://schemas.microsoft.com/office/drawing/2014/main" id="{D0911706-3F16-4B08-BA33-256A2088289E}"/>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1055" name="Text Box 10">
          <a:extLst>
            <a:ext uri="{FF2B5EF4-FFF2-40B4-BE49-F238E27FC236}">
              <a16:creationId xmlns="" xmlns:a16="http://schemas.microsoft.com/office/drawing/2014/main" id="{01651ACE-9871-443A-8AEA-6DA277376CF0}"/>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1056" name="Text Box 11">
          <a:extLst>
            <a:ext uri="{FF2B5EF4-FFF2-40B4-BE49-F238E27FC236}">
              <a16:creationId xmlns="" xmlns:a16="http://schemas.microsoft.com/office/drawing/2014/main" id="{DD8CA72A-60D2-475A-8478-AA0EEE70C57C}"/>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1057" name="Text Box 12">
          <a:extLst>
            <a:ext uri="{FF2B5EF4-FFF2-40B4-BE49-F238E27FC236}">
              <a16:creationId xmlns="" xmlns:a16="http://schemas.microsoft.com/office/drawing/2014/main" id="{1026AD27-568C-429B-A90C-22D35E74935C}"/>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1058" name="Text Box 10">
          <a:extLst>
            <a:ext uri="{FF2B5EF4-FFF2-40B4-BE49-F238E27FC236}">
              <a16:creationId xmlns="" xmlns:a16="http://schemas.microsoft.com/office/drawing/2014/main" id="{86BD560F-F90E-4A78-8A4C-9016950EC453}"/>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1059" name="Text Box 11">
          <a:extLst>
            <a:ext uri="{FF2B5EF4-FFF2-40B4-BE49-F238E27FC236}">
              <a16:creationId xmlns="" xmlns:a16="http://schemas.microsoft.com/office/drawing/2014/main" id="{47931D39-6A0E-4160-B1C5-939ED81A2EBB}"/>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1060" name="Text Box 12">
          <a:extLst>
            <a:ext uri="{FF2B5EF4-FFF2-40B4-BE49-F238E27FC236}">
              <a16:creationId xmlns="" xmlns:a16="http://schemas.microsoft.com/office/drawing/2014/main" id="{1276EE02-6A30-47EF-A89F-7D58892AC0F9}"/>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1061" name="Text Box 10">
          <a:extLst>
            <a:ext uri="{FF2B5EF4-FFF2-40B4-BE49-F238E27FC236}">
              <a16:creationId xmlns="" xmlns:a16="http://schemas.microsoft.com/office/drawing/2014/main" id="{168116C8-8BBD-475A-8435-E4C8A83404C7}"/>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24</xdr:row>
      <xdr:rowOff>0</xdr:rowOff>
    </xdr:from>
    <xdr:to>
      <xdr:col>5</xdr:col>
      <xdr:colOff>104775</xdr:colOff>
      <xdr:row>32</xdr:row>
      <xdr:rowOff>73666</xdr:rowOff>
    </xdr:to>
    <xdr:sp macro="" textlink="">
      <xdr:nvSpPr>
        <xdr:cNvPr id="1062" name="Text Box 11">
          <a:extLst>
            <a:ext uri="{FF2B5EF4-FFF2-40B4-BE49-F238E27FC236}">
              <a16:creationId xmlns="" xmlns:a16="http://schemas.microsoft.com/office/drawing/2014/main" id="{5198B99A-A63A-4EED-9FF6-EB391580A692}"/>
            </a:ext>
          </a:extLst>
        </xdr:cNvPr>
        <xdr:cNvSpPr txBox="1">
          <a:spLocks noChangeArrowheads="1"/>
        </xdr:cNvSpPr>
      </xdr:nvSpPr>
      <xdr:spPr bwMode="auto">
        <a:xfrm>
          <a:off x="5743575" y="13325475"/>
          <a:ext cx="95250" cy="3486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25</xdr:row>
      <xdr:rowOff>0</xdr:rowOff>
    </xdr:from>
    <xdr:to>
      <xdr:col>5</xdr:col>
      <xdr:colOff>85725</xdr:colOff>
      <xdr:row>28</xdr:row>
      <xdr:rowOff>42557</xdr:rowOff>
    </xdr:to>
    <xdr:sp macro="" textlink="">
      <xdr:nvSpPr>
        <xdr:cNvPr id="1063" name="Text Box 10">
          <a:extLst>
            <a:ext uri="{FF2B5EF4-FFF2-40B4-BE49-F238E27FC236}">
              <a16:creationId xmlns="" xmlns:a16="http://schemas.microsoft.com/office/drawing/2014/main" id="{813DB38E-FFAD-4183-8788-35E5F86132B7}"/>
            </a:ext>
          </a:extLst>
        </xdr:cNvPr>
        <xdr:cNvSpPr txBox="1">
          <a:spLocks noChangeArrowheads="1"/>
        </xdr:cNvSpPr>
      </xdr:nvSpPr>
      <xdr:spPr bwMode="auto">
        <a:xfrm>
          <a:off x="5743575" y="13896975"/>
          <a:ext cx="76200" cy="1566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25</xdr:row>
      <xdr:rowOff>0</xdr:rowOff>
    </xdr:from>
    <xdr:to>
      <xdr:col>5</xdr:col>
      <xdr:colOff>85725</xdr:colOff>
      <xdr:row>28</xdr:row>
      <xdr:rowOff>42557</xdr:rowOff>
    </xdr:to>
    <xdr:sp macro="" textlink="">
      <xdr:nvSpPr>
        <xdr:cNvPr id="1064" name="Text Box 11">
          <a:extLst>
            <a:ext uri="{FF2B5EF4-FFF2-40B4-BE49-F238E27FC236}">
              <a16:creationId xmlns="" xmlns:a16="http://schemas.microsoft.com/office/drawing/2014/main" id="{D33EE77F-38C3-464A-8C0B-769E572BF9B8}"/>
            </a:ext>
          </a:extLst>
        </xdr:cNvPr>
        <xdr:cNvSpPr txBox="1">
          <a:spLocks noChangeArrowheads="1"/>
        </xdr:cNvSpPr>
      </xdr:nvSpPr>
      <xdr:spPr bwMode="auto">
        <a:xfrm>
          <a:off x="5743575" y="13896975"/>
          <a:ext cx="76200" cy="1566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25</xdr:row>
      <xdr:rowOff>0</xdr:rowOff>
    </xdr:from>
    <xdr:to>
      <xdr:col>5</xdr:col>
      <xdr:colOff>85725</xdr:colOff>
      <xdr:row>28</xdr:row>
      <xdr:rowOff>42557</xdr:rowOff>
    </xdr:to>
    <xdr:sp macro="" textlink="">
      <xdr:nvSpPr>
        <xdr:cNvPr id="1065" name="Text Box 12">
          <a:extLst>
            <a:ext uri="{FF2B5EF4-FFF2-40B4-BE49-F238E27FC236}">
              <a16:creationId xmlns="" xmlns:a16="http://schemas.microsoft.com/office/drawing/2014/main" id="{852AE04E-4AAE-4A09-82D6-B76ED591B1C1}"/>
            </a:ext>
          </a:extLst>
        </xdr:cNvPr>
        <xdr:cNvSpPr txBox="1">
          <a:spLocks noChangeArrowheads="1"/>
        </xdr:cNvSpPr>
      </xdr:nvSpPr>
      <xdr:spPr bwMode="auto">
        <a:xfrm>
          <a:off x="5743575" y="13896975"/>
          <a:ext cx="76200" cy="1566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25</xdr:row>
      <xdr:rowOff>0</xdr:rowOff>
    </xdr:from>
    <xdr:to>
      <xdr:col>5</xdr:col>
      <xdr:colOff>85725</xdr:colOff>
      <xdr:row>28</xdr:row>
      <xdr:rowOff>42557</xdr:rowOff>
    </xdr:to>
    <xdr:sp macro="" textlink="">
      <xdr:nvSpPr>
        <xdr:cNvPr id="1066" name="Text Box 10">
          <a:extLst>
            <a:ext uri="{FF2B5EF4-FFF2-40B4-BE49-F238E27FC236}">
              <a16:creationId xmlns="" xmlns:a16="http://schemas.microsoft.com/office/drawing/2014/main" id="{3EC1055D-BC49-4ACA-88BC-021646302AC7}"/>
            </a:ext>
          </a:extLst>
        </xdr:cNvPr>
        <xdr:cNvSpPr txBox="1">
          <a:spLocks noChangeArrowheads="1"/>
        </xdr:cNvSpPr>
      </xdr:nvSpPr>
      <xdr:spPr bwMode="auto">
        <a:xfrm>
          <a:off x="5743575" y="13896975"/>
          <a:ext cx="76200" cy="1566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25</xdr:row>
      <xdr:rowOff>0</xdr:rowOff>
    </xdr:from>
    <xdr:to>
      <xdr:col>5</xdr:col>
      <xdr:colOff>85725</xdr:colOff>
      <xdr:row>28</xdr:row>
      <xdr:rowOff>42557</xdr:rowOff>
    </xdr:to>
    <xdr:sp macro="" textlink="">
      <xdr:nvSpPr>
        <xdr:cNvPr id="1067" name="Text Box 11">
          <a:extLst>
            <a:ext uri="{FF2B5EF4-FFF2-40B4-BE49-F238E27FC236}">
              <a16:creationId xmlns="" xmlns:a16="http://schemas.microsoft.com/office/drawing/2014/main" id="{553CF171-E07A-483A-8926-CC3180DE7028}"/>
            </a:ext>
          </a:extLst>
        </xdr:cNvPr>
        <xdr:cNvSpPr txBox="1">
          <a:spLocks noChangeArrowheads="1"/>
        </xdr:cNvSpPr>
      </xdr:nvSpPr>
      <xdr:spPr bwMode="auto">
        <a:xfrm>
          <a:off x="5743575" y="13896975"/>
          <a:ext cx="76200" cy="1566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25</xdr:row>
      <xdr:rowOff>0</xdr:rowOff>
    </xdr:from>
    <xdr:to>
      <xdr:col>5</xdr:col>
      <xdr:colOff>85725</xdr:colOff>
      <xdr:row>28</xdr:row>
      <xdr:rowOff>42557</xdr:rowOff>
    </xdr:to>
    <xdr:sp macro="" textlink="">
      <xdr:nvSpPr>
        <xdr:cNvPr id="1068" name="Text Box 12">
          <a:extLst>
            <a:ext uri="{FF2B5EF4-FFF2-40B4-BE49-F238E27FC236}">
              <a16:creationId xmlns="" xmlns:a16="http://schemas.microsoft.com/office/drawing/2014/main" id="{5D0B287A-D127-4924-B186-53DCC3DFAA13}"/>
            </a:ext>
          </a:extLst>
        </xdr:cNvPr>
        <xdr:cNvSpPr txBox="1">
          <a:spLocks noChangeArrowheads="1"/>
        </xdr:cNvSpPr>
      </xdr:nvSpPr>
      <xdr:spPr bwMode="auto">
        <a:xfrm>
          <a:off x="5743575" y="13896975"/>
          <a:ext cx="76200" cy="1566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25</xdr:row>
      <xdr:rowOff>0</xdr:rowOff>
    </xdr:from>
    <xdr:to>
      <xdr:col>5</xdr:col>
      <xdr:colOff>85725</xdr:colOff>
      <xdr:row>28</xdr:row>
      <xdr:rowOff>42557</xdr:rowOff>
    </xdr:to>
    <xdr:sp macro="" textlink="">
      <xdr:nvSpPr>
        <xdr:cNvPr id="1069" name="Text Box 10">
          <a:extLst>
            <a:ext uri="{FF2B5EF4-FFF2-40B4-BE49-F238E27FC236}">
              <a16:creationId xmlns="" xmlns:a16="http://schemas.microsoft.com/office/drawing/2014/main" id="{7B2FACCB-8318-40CF-B63B-BD066901C4A2}"/>
            </a:ext>
          </a:extLst>
        </xdr:cNvPr>
        <xdr:cNvSpPr txBox="1">
          <a:spLocks noChangeArrowheads="1"/>
        </xdr:cNvSpPr>
      </xdr:nvSpPr>
      <xdr:spPr bwMode="auto">
        <a:xfrm>
          <a:off x="5743575" y="13896975"/>
          <a:ext cx="76200" cy="1566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25</xdr:row>
      <xdr:rowOff>0</xdr:rowOff>
    </xdr:from>
    <xdr:to>
      <xdr:col>5</xdr:col>
      <xdr:colOff>85725</xdr:colOff>
      <xdr:row>28</xdr:row>
      <xdr:rowOff>42557</xdr:rowOff>
    </xdr:to>
    <xdr:sp macro="" textlink="">
      <xdr:nvSpPr>
        <xdr:cNvPr id="1070" name="Text Box 11">
          <a:extLst>
            <a:ext uri="{FF2B5EF4-FFF2-40B4-BE49-F238E27FC236}">
              <a16:creationId xmlns="" xmlns:a16="http://schemas.microsoft.com/office/drawing/2014/main" id="{A112A863-08CF-4CD2-A42C-0674841747F0}"/>
            </a:ext>
          </a:extLst>
        </xdr:cNvPr>
        <xdr:cNvSpPr txBox="1">
          <a:spLocks noChangeArrowheads="1"/>
        </xdr:cNvSpPr>
      </xdr:nvSpPr>
      <xdr:spPr bwMode="auto">
        <a:xfrm>
          <a:off x="5743575" y="13896975"/>
          <a:ext cx="76200" cy="1566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25</xdr:row>
      <xdr:rowOff>0</xdr:rowOff>
    </xdr:from>
    <xdr:to>
      <xdr:col>5</xdr:col>
      <xdr:colOff>85725</xdr:colOff>
      <xdr:row>28</xdr:row>
      <xdr:rowOff>42557</xdr:rowOff>
    </xdr:to>
    <xdr:sp macro="" textlink="">
      <xdr:nvSpPr>
        <xdr:cNvPr id="1071" name="Text Box 12">
          <a:extLst>
            <a:ext uri="{FF2B5EF4-FFF2-40B4-BE49-F238E27FC236}">
              <a16:creationId xmlns="" xmlns:a16="http://schemas.microsoft.com/office/drawing/2014/main" id="{7A8A9AA0-EB23-4842-8738-BC8BFF42DB0D}"/>
            </a:ext>
          </a:extLst>
        </xdr:cNvPr>
        <xdr:cNvSpPr txBox="1">
          <a:spLocks noChangeArrowheads="1"/>
        </xdr:cNvSpPr>
      </xdr:nvSpPr>
      <xdr:spPr bwMode="auto">
        <a:xfrm>
          <a:off x="5743575" y="13896975"/>
          <a:ext cx="76200" cy="1566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25</xdr:row>
      <xdr:rowOff>0</xdr:rowOff>
    </xdr:from>
    <xdr:to>
      <xdr:col>5</xdr:col>
      <xdr:colOff>85725</xdr:colOff>
      <xdr:row>28</xdr:row>
      <xdr:rowOff>42557</xdr:rowOff>
    </xdr:to>
    <xdr:sp macro="" textlink="">
      <xdr:nvSpPr>
        <xdr:cNvPr id="1072" name="Text Box 10">
          <a:extLst>
            <a:ext uri="{FF2B5EF4-FFF2-40B4-BE49-F238E27FC236}">
              <a16:creationId xmlns="" xmlns:a16="http://schemas.microsoft.com/office/drawing/2014/main" id="{1EC9B23C-22B1-400E-A1D4-D9B17976DD03}"/>
            </a:ext>
          </a:extLst>
        </xdr:cNvPr>
        <xdr:cNvSpPr txBox="1">
          <a:spLocks noChangeArrowheads="1"/>
        </xdr:cNvSpPr>
      </xdr:nvSpPr>
      <xdr:spPr bwMode="auto">
        <a:xfrm>
          <a:off x="5743575" y="13896975"/>
          <a:ext cx="76200" cy="1566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25</xdr:row>
      <xdr:rowOff>0</xdr:rowOff>
    </xdr:from>
    <xdr:to>
      <xdr:col>5</xdr:col>
      <xdr:colOff>85725</xdr:colOff>
      <xdr:row>28</xdr:row>
      <xdr:rowOff>42557</xdr:rowOff>
    </xdr:to>
    <xdr:sp macro="" textlink="">
      <xdr:nvSpPr>
        <xdr:cNvPr id="1073" name="Text Box 11">
          <a:extLst>
            <a:ext uri="{FF2B5EF4-FFF2-40B4-BE49-F238E27FC236}">
              <a16:creationId xmlns="" xmlns:a16="http://schemas.microsoft.com/office/drawing/2014/main" id="{0428AD33-A64C-461C-B714-460C9B548A78}"/>
            </a:ext>
          </a:extLst>
        </xdr:cNvPr>
        <xdr:cNvSpPr txBox="1">
          <a:spLocks noChangeArrowheads="1"/>
        </xdr:cNvSpPr>
      </xdr:nvSpPr>
      <xdr:spPr bwMode="auto">
        <a:xfrm>
          <a:off x="5743575" y="13896975"/>
          <a:ext cx="76200" cy="1566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25</xdr:row>
      <xdr:rowOff>0</xdr:rowOff>
    </xdr:from>
    <xdr:to>
      <xdr:col>5</xdr:col>
      <xdr:colOff>85725</xdr:colOff>
      <xdr:row>28</xdr:row>
      <xdr:rowOff>42557</xdr:rowOff>
    </xdr:to>
    <xdr:sp macro="" textlink="">
      <xdr:nvSpPr>
        <xdr:cNvPr id="1074" name="Text Box 12">
          <a:extLst>
            <a:ext uri="{FF2B5EF4-FFF2-40B4-BE49-F238E27FC236}">
              <a16:creationId xmlns="" xmlns:a16="http://schemas.microsoft.com/office/drawing/2014/main" id="{917FE442-2D43-4794-8716-C29F41524347}"/>
            </a:ext>
          </a:extLst>
        </xdr:cNvPr>
        <xdr:cNvSpPr txBox="1">
          <a:spLocks noChangeArrowheads="1"/>
        </xdr:cNvSpPr>
      </xdr:nvSpPr>
      <xdr:spPr bwMode="auto">
        <a:xfrm>
          <a:off x="5743575" y="13896975"/>
          <a:ext cx="76200" cy="1566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25</xdr:row>
      <xdr:rowOff>0</xdr:rowOff>
    </xdr:from>
    <xdr:to>
      <xdr:col>5</xdr:col>
      <xdr:colOff>85725</xdr:colOff>
      <xdr:row>28</xdr:row>
      <xdr:rowOff>42557</xdr:rowOff>
    </xdr:to>
    <xdr:sp macro="" textlink="">
      <xdr:nvSpPr>
        <xdr:cNvPr id="1075" name="Text Box 10">
          <a:extLst>
            <a:ext uri="{FF2B5EF4-FFF2-40B4-BE49-F238E27FC236}">
              <a16:creationId xmlns="" xmlns:a16="http://schemas.microsoft.com/office/drawing/2014/main" id="{E759E5E9-D877-4A55-A566-047C12FDF6AC}"/>
            </a:ext>
          </a:extLst>
        </xdr:cNvPr>
        <xdr:cNvSpPr txBox="1">
          <a:spLocks noChangeArrowheads="1"/>
        </xdr:cNvSpPr>
      </xdr:nvSpPr>
      <xdr:spPr bwMode="auto">
        <a:xfrm>
          <a:off x="5743575" y="13896975"/>
          <a:ext cx="76200" cy="1566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25</xdr:row>
      <xdr:rowOff>0</xdr:rowOff>
    </xdr:from>
    <xdr:to>
      <xdr:col>5</xdr:col>
      <xdr:colOff>85725</xdr:colOff>
      <xdr:row>28</xdr:row>
      <xdr:rowOff>42557</xdr:rowOff>
    </xdr:to>
    <xdr:sp macro="" textlink="">
      <xdr:nvSpPr>
        <xdr:cNvPr id="1076" name="Text Box 11">
          <a:extLst>
            <a:ext uri="{FF2B5EF4-FFF2-40B4-BE49-F238E27FC236}">
              <a16:creationId xmlns="" xmlns:a16="http://schemas.microsoft.com/office/drawing/2014/main" id="{F9E29FC5-28AD-41F6-9420-F3611449DB19}"/>
            </a:ext>
          </a:extLst>
        </xdr:cNvPr>
        <xdr:cNvSpPr txBox="1">
          <a:spLocks noChangeArrowheads="1"/>
        </xdr:cNvSpPr>
      </xdr:nvSpPr>
      <xdr:spPr bwMode="auto">
        <a:xfrm>
          <a:off x="5743575" y="13896975"/>
          <a:ext cx="76200" cy="1566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25</xdr:row>
      <xdr:rowOff>0</xdr:rowOff>
    </xdr:from>
    <xdr:to>
      <xdr:col>5</xdr:col>
      <xdr:colOff>85725</xdr:colOff>
      <xdr:row>28</xdr:row>
      <xdr:rowOff>42557</xdr:rowOff>
    </xdr:to>
    <xdr:sp macro="" textlink="">
      <xdr:nvSpPr>
        <xdr:cNvPr id="1077" name="Text Box 12">
          <a:extLst>
            <a:ext uri="{FF2B5EF4-FFF2-40B4-BE49-F238E27FC236}">
              <a16:creationId xmlns="" xmlns:a16="http://schemas.microsoft.com/office/drawing/2014/main" id="{84FDC2D0-2CFB-4BBF-8EE3-D8341C7DEB4B}"/>
            </a:ext>
          </a:extLst>
        </xdr:cNvPr>
        <xdr:cNvSpPr txBox="1">
          <a:spLocks noChangeArrowheads="1"/>
        </xdr:cNvSpPr>
      </xdr:nvSpPr>
      <xdr:spPr bwMode="auto">
        <a:xfrm>
          <a:off x="5743575" y="13896975"/>
          <a:ext cx="76200" cy="1566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25</xdr:row>
      <xdr:rowOff>0</xdr:rowOff>
    </xdr:from>
    <xdr:to>
      <xdr:col>5</xdr:col>
      <xdr:colOff>85725</xdr:colOff>
      <xdr:row>28</xdr:row>
      <xdr:rowOff>42557</xdr:rowOff>
    </xdr:to>
    <xdr:sp macro="" textlink="">
      <xdr:nvSpPr>
        <xdr:cNvPr id="1078" name="Text Box 10">
          <a:extLst>
            <a:ext uri="{FF2B5EF4-FFF2-40B4-BE49-F238E27FC236}">
              <a16:creationId xmlns="" xmlns:a16="http://schemas.microsoft.com/office/drawing/2014/main" id="{383A211F-4CF2-4B7C-A9AC-6EC618B00F1E}"/>
            </a:ext>
          </a:extLst>
        </xdr:cNvPr>
        <xdr:cNvSpPr txBox="1">
          <a:spLocks noChangeArrowheads="1"/>
        </xdr:cNvSpPr>
      </xdr:nvSpPr>
      <xdr:spPr bwMode="auto">
        <a:xfrm>
          <a:off x="5743575" y="13896975"/>
          <a:ext cx="76200" cy="1566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25</xdr:row>
      <xdr:rowOff>0</xdr:rowOff>
    </xdr:from>
    <xdr:to>
      <xdr:col>5</xdr:col>
      <xdr:colOff>85725</xdr:colOff>
      <xdr:row>28</xdr:row>
      <xdr:rowOff>42557</xdr:rowOff>
    </xdr:to>
    <xdr:sp macro="" textlink="">
      <xdr:nvSpPr>
        <xdr:cNvPr id="1079" name="Text Box 11">
          <a:extLst>
            <a:ext uri="{FF2B5EF4-FFF2-40B4-BE49-F238E27FC236}">
              <a16:creationId xmlns="" xmlns:a16="http://schemas.microsoft.com/office/drawing/2014/main" id="{585946D2-C19D-40AE-BB81-3CBEA225CDEF}"/>
            </a:ext>
          </a:extLst>
        </xdr:cNvPr>
        <xdr:cNvSpPr txBox="1">
          <a:spLocks noChangeArrowheads="1"/>
        </xdr:cNvSpPr>
      </xdr:nvSpPr>
      <xdr:spPr bwMode="auto">
        <a:xfrm>
          <a:off x="5743575" y="13896975"/>
          <a:ext cx="76200" cy="1566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25</xdr:row>
      <xdr:rowOff>0</xdr:rowOff>
    </xdr:from>
    <xdr:to>
      <xdr:col>5</xdr:col>
      <xdr:colOff>85725</xdr:colOff>
      <xdr:row>28</xdr:row>
      <xdr:rowOff>42557</xdr:rowOff>
    </xdr:to>
    <xdr:sp macro="" textlink="">
      <xdr:nvSpPr>
        <xdr:cNvPr id="1080" name="Text Box 12">
          <a:extLst>
            <a:ext uri="{FF2B5EF4-FFF2-40B4-BE49-F238E27FC236}">
              <a16:creationId xmlns="" xmlns:a16="http://schemas.microsoft.com/office/drawing/2014/main" id="{2943FECA-0FA7-49B6-A1A1-1ACA7DDE07F5}"/>
            </a:ext>
          </a:extLst>
        </xdr:cNvPr>
        <xdr:cNvSpPr txBox="1">
          <a:spLocks noChangeArrowheads="1"/>
        </xdr:cNvSpPr>
      </xdr:nvSpPr>
      <xdr:spPr bwMode="auto">
        <a:xfrm>
          <a:off x="5743575" y="13896975"/>
          <a:ext cx="76200" cy="1566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25</xdr:row>
      <xdr:rowOff>0</xdr:rowOff>
    </xdr:from>
    <xdr:to>
      <xdr:col>5</xdr:col>
      <xdr:colOff>85725</xdr:colOff>
      <xdr:row>28</xdr:row>
      <xdr:rowOff>42557</xdr:rowOff>
    </xdr:to>
    <xdr:sp macro="" textlink="">
      <xdr:nvSpPr>
        <xdr:cNvPr id="1081" name="Text Box 10">
          <a:extLst>
            <a:ext uri="{FF2B5EF4-FFF2-40B4-BE49-F238E27FC236}">
              <a16:creationId xmlns="" xmlns:a16="http://schemas.microsoft.com/office/drawing/2014/main" id="{D3094DF4-CDD8-4E96-809D-2F2089F63EF7}"/>
            </a:ext>
          </a:extLst>
        </xdr:cNvPr>
        <xdr:cNvSpPr txBox="1">
          <a:spLocks noChangeArrowheads="1"/>
        </xdr:cNvSpPr>
      </xdr:nvSpPr>
      <xdr:spPr bwMode="auto">
        <a:xfrm>
          <a:off x="5743575" y="13896975"/>
          <a:ext cx="76200" cy="1566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25</xdr:row>
      <xdr:rowOff>0</xdr:rowOff>
    </xdr:from>
    <xdr:to>
      <xdr:col>5</xdr:col>
      <xdr:colOff>85725</xdr:colOff>
      <xdr:row>28</xdr:row>
      <xdr:rowOff>42557</xdr:rowOff>
    </xdr:to>
    <xdr:sp macro="" textlink="">
      <xdr:nvSpPr>
        <xdr:cNvPr id="1082" name="Text Box 11">
          <a:extLst>
            <a:ext uri="{FF2B5EF4-FFF2-40B4-BE49-F238E27FC236}">
              <a16:creationId xmlns="" xmlns:a16="http://schemas.microsoft.com/office/drawing/2014/main" id="{7A84795C-3BC5-42C9-AB7B-68BE011E85FB}"/>
            </a:ext>
          </a:extLst>
        </xdr:cNvPr>
        <xdr:cNvSpPr txBox="1">
          <a:spLocks noChangeArrowheads="1"/>
        </xdr:cNvSpPr>
      </xdr:nvSpPr>
      <xdr:spPr bwMode="auto">
        <a:xfrm>
          <a:off x="5743575" y="13896975"/>
          <a:ext cx="76200" cy="1566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25</xdr:row>
      <xdr:rowOff>0</xdr:rowOff>
    </xdr:from>
    <xdr:to>
      <xdr:col>5</xdr:col>
      <xdr:colOff>85725</xdr:colOff>
      <xdr:row>28</xdr:row>
      <xdr:rowOff>42557</xdr:rowOff>
    </xdr:to>
    <xdr:sp macro="" textlink="">
      <xdr:nvSpPr>
        <xdr:cNvPr id="1083" name="Text Box 12">
          <a:extLst>
            <a:ext uri="{FF2B5EF4-FFF2-40B4-BE49-F238E27FC236}">
              <a16:creationId xmlns="" xmlns:a16="http://schemas.microsoft.com/office/drawing/2014/main" id="{D0B50BC3-5476-40C1-911B-D865810C7517}"/>
            </a:ext>
          </a:extLst>
        </xdr:cNvPr>
        <xdr:cNvSpPr txBox="1">
          <a:spLocks noChangeArrowheads="1"/>
        </xdr:cNvSpPr>
      </xdr:nvSpPr>
      <xdr:spPr bwMode="auto">
        <a:xfrm>
          <a:off x="5743575" y="13896975"/>
          <a:ext cx="76200" cy="1566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25</xdr:row>
      <xdr:rowOff>0</xdr:rowOff>
    </xdr:from>
    <xdr:to>
      <xdr:col>5</xdr:col>
      <xdr:colOff>85725</xdr:colOff>
      <xdr:row>28</xdr:row>
      <xdr:rowOff>42557</xdr:rowOff>
    </xdr:to>
    <xdr:sp macro="" textlink="">
      <xdr:nvSpPr>
        <xdr:cNvPr id="1084" name="Text Box 10">
          <a:extLst>
            <a:ext uri="{FF2B5EF4-FFF2-40B4-BE49-F238E27FC236}">
              <a16:creationId xmlns="" xmlns:a16="http://schemas.microsoft.com/office/drawing/2014/main" id="{E810EFCF-4F99-4EF8-A7F2-6001B8504679}"/>
            </a:ext>
          </a:extLst>
        </xdr:cNvPr>
        <xdr:cNvSpPr txBox="1">
          <a:spLocks noChangeArrowheads="1"/>
        </xdr:cNvSpPr>
      </xdr:nvSpPr>
      <xdr:spPr bwMode="auto">
        <a:xfrm>
          <a:off x="5743575" y="13896975"/>
          <a:ext cx="76200" cy="1566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25</xdr:row>
      <xdr:rowOff>0</xdr:rowOff>
    </xdr:from>
    <xdr:to>
      <xdr:col>5</xdr:col>
      <xdr:colOff>85725</xdr:colOff>
      <xdr:row>28</xdr:row>
      <xdr:rowOff>42557</xdr:rowOff>
    </xdr:to>
    <xdr:sp macro="" textlink="">
      <xdr:nvSpPr>
        <xdr:cNvPr id="1085" name="Text Box 11">
          <a:extLst>
            <a:ext uri="{FF2B5EF4-FFF2-40B4-BE49-F238E27FC236}">
              <a16:creationId xmlns="" xmlns:a16="http://schemas.microsoft.com/office/drawing/2014/main" id="{094F4D58-90D7-4E49-9797-6B7DEC6AD07D}"/>
            </a:ext>
          </a:extLst>
        </xdr:cNvPr>
        <xdr:cNvSpPr txBox="1">
          <a:spLocks noChangeArrowheads="1"/>
        </xdr:cNvSpPr>
      </xdr:nvSpPr>
      <xdr:spPr bwMode="auto">
        <a:xfrm>
          <a:off x="5743575" y="13896975"/>
          <a:ext cx="76200" cy="1566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25</xdr:row>
      <xdr:rowOff>0</xdr:rowOff>
    </xdr:from>
    <xdr:to>
      <xdr:col>5</xdr:col>
      <xdr:colOff>85725</xdr:colOff>
      <xdr:row>28</xdr:row>
      <xdr:rowOff>42557</xdr:rowOff>
    </xdr:to>
    <xdr:sp macro="" textlink="">
      <xdr:nvSpPr>
        <xdr:cNvPr id="1086" name="Text Box 12">
          <a:extLst>
            <a:ext uri="{FF2B5EF4-FFF2-40B4-BE49-F238E27FC236}">
              <a16:creationId xmlns="" xmlns:a16="http://schemas.microsoft.com/office/drawing/2014/main" id="{1542E496-D810-4791-80D3-1AF4819405D8}"/>
            </a:ext>
          </a:extLst>
        </xdr:cNvPr>
        <xdr:cNvSpPr txBox="1">
          <a:spLocks noChangeArrowheads="1"/>
        </xdr:cNvSpPr>
      </xdr:nvSpPr>
      <xdr:spPr bwMode="auto">
        <a:xfrm>
          <a:off x="5743575" y="13896975"/>
          <a:ext cx="76200" cy="1566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25</xdr:row>
      <xdr:rowOff>0</xdr:rowOff>
    </xdr:from>
    <xdr:to>
      <xdr:col>5</xdr:col>
      <xdr:colOff>85725</xdr:colOff>
      <xdr:row>28</xdr:row>
      <xdr:rowOff>42557</xdr:rowOff>
    </xdr:to>
    <xdr:sp macro="" textlink="">
      <xdr:nvSpPr>
        <xdr:cNvPr id="1087" name="Text Box 10">
          <a:extLst>
            <a:ext uri="{FF2B5EF4-FFF2-40B4-BE49-F238E27FC236}">
              <a16:creationId xmlns="" xmlns:a16="http://schemas.microsoft.com/office/drawing/2014/main" id="{6DB0178F-534F-4447-A12A-514504020020}"/>
            </a:ext>
          </a:extLst>
        </xdr:cNvPr>
        <xdr:cNvSpPr txBox="1">
          <a:spLocks noChangeArrowheads="1"/>
        </xdr:cNvSpPr>
      </xdr:nvSpPr>
      <xdr:spPr bwMode="auto">
        <a:xfrm>
          <a:off x="5743575" y="13896975"/>
          <a:ext cx="76200" cy="1566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25</xdr:row>
      <xdr:rowOff>0</xdr:rowOff>
    </xdr:from>
    <xdr:to>
      <xdr:col>5</xdr:col>
      <xdr:colOff>85725</xdr:colOff>
      <xdr:row>28</xdr:row>
      <xdr:rowOff>42557</xdr:rowOff>
    </xdr:to>
    <xdr:sp macro="" textlink="">
      <xdr:nvSpPr>
        <xdr:cNvPr id="1088" name="Text Box 11">
          <a:extLst>
            <a:ext uri="{FF2B5EF4-FFF2-40B4-BE49-F238E27FC236}">
              <a16:creationId xmlns="" xmlns:a16="http://schemas.microsoft.com/office/drawing/2014/main" id="{12349687-F54D-4736-9D8F-5817ABA689EF}"/>
            </a:ext>
          </a:extLst>
        </xdr:cNvPr>
        <xdr:cNvSpPr txBox="1">
          <a:spLocks noChangeArrowheads="1"/>
        </xdr:cNvSpPr>
      </xdr:nvSpPr>
      <xdr:spPr bwMode="auto">
        <a:xfrm>
          <a:off x="5743575" y="13896975"/>
          <a:ext cx="76200" cy="1566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25</xdr:row>
      <xdr:rowOff>0</xdr:rowOff>
    </xdr:from>
    <xdr:to>
      <xdr:col>5</xdr:col>
      <xdr:colOff>85725</xdr:colOff>
      <xdr:row>28</xdr:row>
      <xdr:rowOff>42557</xdr:rowOff>
    </xdr:to>
    <xdr:sp macro="" textlink="">
      <xdr:nvSpPr>
        <xdr:cNvPr id="1089" name="Text Box 12">
          <a:extLst>
            <a:ext uri="{FF2B5EF4-FFF2-40B4-BE49-F238E27FC236}">
              <a16:creationId xmlns="" xmlns:a16="http://schemas.microsoft.com/office/drawing/2014/main" id="{4C4AD742-A104-4CB4-8DD9-CE716C0279B3}"/>
            </a:ext>
          </a:extLst>
        </xdr:cNvPr>
        <xdr:cNvSpPr txBox="1">
          <a:spLocks noChangeArrowheads="1"/>
        </xdr:cNvSpPr>
      </xdr:nvSpPr>
      <xdr:spPr bwMode="auto">
        <a:xfrm>
          <a:off x="5743575" y="13896975"/>
          <a:ext cx="76200" cy="1566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25</xdr:row>
      <xdr:rowOff>0</xdr:rowOff>
    </xdr:from>
    <xdr:to>
      <xdr:col>5</xdr:col>
      <xdr:colOff>85725</xdr:colOff>
      <xdr:row>28</xdr:row>
      <xdr:rowOff>42557</xdr:rowOff>
    </xdr:to>
    <xdr:sp macro="" textlink="">
      <xdr:nvSpPr>
        <xdr:cNvPr id="1090" name="Text Box 10">
          <a:extLst>
            <a:ext uri="{FF2B5EF4-FFF2-40B4-BE49-F238E27FC236}">
              <a16:creationId xmlns="" xmlns:a16="http://schemas.microsoft.com/office/drawing/2014/main" id="{FE5C207C-F9BA-4FA8-A1E8-DE26265F6E71}"/>
            </a:ext>
          </a:extLst>
        </xdr:cNvPr>
        <xdr:cNvSpPr txBox="1">
          <a:spLocks noChangeArrowheads="1"/>
        </xdr:cNvSpPr>
      </xdr:nvSpPr>
      <xdr:spPr bwMode="auto">
        <a:xfrm>
          <a:off x="5743575" y="13896975"/>
          <a:ext cx="76200" cy="1566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25</xdr:row>
      <xdr:rowOff>0</xdr:rowOff>
    </xdr:from>
    <xdr:to>
      <xdr:col>5</xdr:col>
      <xdr:colOff>85725</xdr:colOff>
      <xdr:row>28</xdr:row>
      <xdr:rowOff>42557</xdr:rowOff>
    </xdr:to>
    <xdr:sp macro="" textlink="">
      <xdr:nvSpPr>
        <xdr:cNvPr id="1091" name="Text Box 11">
          <a:extLst>
            <a:ext uri="{FF2B5EF4-FFF2-40B4-BE49-F238E27FC236}">
              <a16:creationId xmlns="" xmlns:a16="http://schemas.microsoft.com/office/drawing/2014/main" id="{01214871-23F0-4092-B923-1FF90FF3C4A4}"/>
            </a:ext>
          </a:extLst>
        </xdr:cNvPr>
        <xdr:cNvSpPr txBox="1">
          <a:spLocks noChangeArrowheads="1"/>
        </xdr:cNvSpPr>
      </xdr:nvSpPr>
      <xdr:spPr bwMode="auto">
        <a:xfrm>
          <a:off x="5743575" y="13896975"/>
          <a:ext cx="76200" cy="1566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25</xdr:row>
      <xdr:rowOff>0</xdr:rowOff>
    </xdr:from>
    <xdr:to>
      <xdr:col>5</xdr:col>
      <xdr:colOff>85725</xdr:colOff>
      <xdr:row>28</xdr:row>
      <xdr:rowOff>42557</xdr:rowOff>
    </xdr:to>
    <xdr:sp macro="" textlink="">
      <xdr:nvSpPr>
        <xdr:cNvPr id="1092" name="Text Box 12">
          <a:extLst>
            <a:ext uri="{FF2B5EF4-FFF2-40B4-BE49-F238E27FC236}">
              <a16:creationId xmlns="" xmlns:a16="http://schemas.microsoft.com/office/drawing/2014/main" id="{B6C3E716-795A-4028-9331-BA7C75466AB4}"/>
            </a:ext>
          </a:extLst>
        </xdr:cNvPr>
        <xdr:cNvSpPr txBox="1">
          <a:spLocks noChangeArrowheads="1"/>
        </xdr:cNvSpPr>
      </xdr:nvSpPr>
      <xdr:spPr bwMode="auto">
        <a:xfrm>
          <a:off x="5743575" y="13896975"/>
          <a:ext cx="76200" cy="1566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25</xdr:row>
      <xdr:rowOff>0</xdr:rowOff>
    </xdr:from>
    <xdr:to>
      <xdr:col>5</xdr:col>
      <xdr:colOff>85725</xdr:colOff>
      <xdr:row>28</xdr:row>
      <xdr:rowOff>42557</xdr:rowOff>
    </xdr:to>
    <xdr:sp macro="" textlink="">
      <xdr:nvSpPr>
        <xdr:cNvPr id="1093" name="Text Box 10">
          <a:extLst>
            <a:ext uri="{FF2B5EF4-FFF2-40B4-BE49-F238E27FC236}">
              <a16:creationId xmlns="" xmlns:a16="http://schemas.microsoft.com/office/drawing/2014/main" id="{10F11E2C-D6CC-478E-98D7-A77F7EBEFF2E}"/>
            </a:ext>
          </a:extLst>
        </xdr:cNvPr>
        <xdr:cNvSpPr txBox="1">
          <a:spLocks noChangeArrowheads="1"/>
        </xdr:cNvSpPr>
      </xdr:nvSpPr>
      <xdr:spPr bwMode="auto">
        <a:xfrm>
          <a:off x="5743575" y="13896975"/>
          <a:ext cx="76200" cy="1566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25</xdr:row>
      <xdr:rowOff>0</xdr:rowOff>
    </xdr:from>
    <xdr:to>
      <xdr:col>5</xdr:col>
      <xdr:colOff>85725</xdr:colOff>
      <xdr:row>28</xdr:row>
      <xdr:rowOff>42557</xdr:rowOff>
    </xdr:to>
    <xdr:sp macro="" textlink="">
      <xdr:nvSpPr>
        <xdr:cNvPr id="1094" name="Text Box 11">
          <a:extLst>
            <a:ext uri="{FF2B5EF4-FFF2-40B4-BE49-F238E27FC236}">
              <a16:creationId xmlns="" xmlns:a16="http://schemas.microsoft.com/office/drawing/2014/main" id="{9455B3C5-A8E4-4F99-84E8-C699FF75E833}"/>
            </a:ext>
          </a:extLst>
        </xdr:cNvPr>
        <xdr:cNvSpPr txBox="1">
          <a:spLocks noChangeArrowheads="1"/>
        </xdr:cNvSpPr>
      </xdr:nvSpPr>
      <xdr:spPr bwMode="auto">
        <a:xfrm>
          <a:off x="5743575" y="13896975"/>
          <a:ext cx="76200" cy="1566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25</xdr:row>
      <xdr:rowOff>0</xdr:rowOff>
    </xdr:from>
    <xdr:to>
      <xdr:col>5</xdr:col>
      <xdr:colOff>85725</xdr:colOff>
      <xdr:row>28</xdr:row>
      <xdr:rowOff>42557</xdr:rowOff>
    </xdr:to>
    <xdr:sp macro="" textlink="">
      <xdr:nvSpPr>
        <xdr:cNvPr id="1095" name="Text Box 12">
          <a:extLst>
            <a:ext uri="{FF2B5EF4-FFF2-40B4-BE49-F238E27FC236}">
              <a16:creationId xmlns="" xmlns:a16="http://schemas.microsoft.com/office/drawing/2014/main" id="{B526A11B-325D-43FA-865B-B486B29B3D78}"/>
            </a:ext>
          </a:extLst>
        </xdr:cNvPr>
        <xdr:cNvSpPr txBox="1">
          <a:spLocks noChangeArrowheads="1"/>
        </xdr:cNvSpPr>
      </xdr:nvSpPr>
      <xdr:spPr bwMode="auto">
        <a:xfrm>
          <a:off x="5743575" y="13896975"/>
          <a:ext cx="76200" cy="1566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25</xdr:row>
      <xdr:rowOff>0</xdr:rowOff>
    </xdr:from>
    <xdr:to>
      <xdr:col>5</xdr:col>
      <xdr:colOff>85725</xdr:colOff>
      <xdr:row>28</xdr:row>
      <xdr:rowOff>42557</xdr:rowOff>
    </xdr:to>
    <xdr:sp macro="" textlink="">
      <xdr:nvSpPr>
        <xdr:cNvPr id="1096" name="Text Box 10">
          <a:extLst>
            <a:ext uri="{FF2B5EF4-FFF2-40B4-BE49-F238E27FC236}">
              <a16:creationId xmlns="" xmlns:a16="http://schemas.microsoft.com/office/drawing/2014/main" id="{93ECEB53-9250-43A9-A1A7-3AD0978B6AB6}"/>
            </a:ext>
          </a:extLst>
        </xdr:cNvPr>
        <xdr:cNvSpPr txBox="1">
          <a:spLocks noChangeArrowheads="1"/>
        </xdr:cNvSpPr>
      </xdr:nvSpPr>
      <xdr:spPr bwMode="auto">
        <a:xfrm>
          <a:off x="5743575" y="13896975"/>
          <a:ext cx="76200" cy="1566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25</xdr:row>
      <xdr:rowOff>0</xdr:rowOff>
    </xdr:from>
    <xdr:to>
      <xdr:col>5</xdr:col>
      <xdr:colOff>85725</xdr:colOff>
      <xdr:row>28</xdr:row>
      <xdr:rowOff>42557</xdr:rowOff>
    </xdr:to>
    <xdr:sp macro="" textlink="">
      <xdr:nvSpPr>
        <xdr:cNvPr id="1097" name="Text Box 11">
          <a:extLst>
            <a:ext uri="{FF2B5EF4-FFF2-40B4-BE49-F238E27FC236}">
              <a16:creationId xmlns="" xmlns:a16="http://schemas.microsoft.com/office/drawing/2014/main" id="{B3A174A2-C09F-466F-9C51-861A9C81B3D3}"/>
            </a:ext>
          </a:extLst>
        </xdr:cNvPr>
        <xdr:cNvSpPr txBox="1">
          <a:spLocks noChangeArrowheads="1"/>
        </xdr:cNvSpPr>
      </xdr:nvSpPr>
      <xdr:spPr bwMode="auto">
        <a:xfrm>
          <a:off x="5743575" y="13896975"/>
          <a:ext cx="76200" cy="1566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25</xdr:row>
      <xdr:rowOff>0</xdr:rowOff>
    </xdr:from>
    <xdr:to>
      <xdr:col>5</xdr:col>
      <xdr:colOff>85725</xdr:colOff>
      <xdr:row>28</xdr:row>
      <xdr:rowOff>42557</xdr:rowOff>
    </xdr:to>
    <xdr:sp macro="" textlink="">
      <xdr:nvSpPr>
        <xdr:cNvPr id="1098" name="Text Box 12">
          <a:extLst>
            <a:ext uri="{FF2B5EF4-FFF2-40B4-BE49-F238E27FC236}">
              <a16:creationId xmlns="" xmlns:a16="http://schemas.microsoft.com/office/drawing/2014/main" id="{78E58570-B832-42F7-A298-8AA9DC341F8A}"/>
            </a:ext>
          </a:extLst>
        </xdr:cNvPr>
        <xdr:cNvSpPr txBox="1">
          <a:spLocks noChangeArrowheads="1"/>
        </xdr:cNvSpPr>
      </xdr:nvSpPr>
      <xdr:spPr bwMode="auto">
        <a:xfrm>
          <a:off x="5743575" y="13896975"/>
          <a:ext cx="76200" cy="1566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25</xdr:row>
      <xdr:rowOff>0</xdr:rowOff>
    </xdr:from>
    <xdr:to>
      <xdr:col>5</xdr:col>
      <xdr:colOff>85725</xdr:colOff>
      <xdr:row>28</xdr:row>
      <xdr:rowOff>42557</xdr:rowOff>
    </xdr:to>
    <xdr:sp macro="" textlink="">
      <xdr:nvSpPr>
        <xdr:cNvPr id="1099" name="Text Box 10">
          <a:extLst>
            <a:ext uri="{FF2B5EF4-FFF2-40B4-BE49-F238E27FC236}">
              <a16:creationId xmlns="" xmlns:a16="http://schemas.microsoft.com/office/drawing/2014/main" id="{6237AAC0-5517-4A1A-8C8D-D75CBFA86D41}"/>
            </a:ext>
          </a:extLst>
        </xdr:cNvPr>
        <xdr:cNvSpPr txBox="1">
          <a:spLocks noChangeArrowheads="1"/>
        </xdr:cNvSpPr>
      </xdr:nvSpPr>
      <xdr:spPr bwMode="auto">
        <a:xfrm>
          <a:off x="5743575" y="13896975"/>
          <a:ext cx="76200" cy="1566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25</xdr:row>
      <xdr:rowOff>0</xdr:rowOff>
    </xdr:from>
    <xdr:to>
      <xdr:col>5</xdr:col>
      <xdr:colOff>85725</xdr:colOff>
      <xdr:row>28</xdr:row>
      <xdr:rowOff>42557</xdr:rowOff>
    </xdr:to>
    <xdr:sp macro="" textlink="">
      <xdr:nvSpPr>
        <xdr:cNvPr id="1100" name="Text Box 11">
          <a:extLst>
            <a:ext uri="{FF2B5EF4-FFF2-40B4-BE49-F238E27FC236}">
              <a16:creationId xmlns="" xmlns:a16="http://schemas.microsoft.com/office/drawing/2014/main" id="{34D11B65-FC0D-452B-8173-A6020019699D}"/>
            </a:ext>
          </a:extLst>
        </xdr:cNvPr>
        <xdr:cNvSpPr txBox="1">
          <a:spLocks noChangeArrowheads="1"/>
        </xdr:cNvSpPr>
      </xdr:nvSpPr>
      <xdr:spPr bwMode="auto">
        <a:xfrm>
          <a:off x="5743575" y="13896975"/>
          <a:ext cx="76200" cy="1566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25</xdr:row>
      <xdr:rowOff>0</xdr:rowOff>
    </xdr:from>
    <xdr:to>
      <xdr:col>5</xdr:col>
      <xdr:colOff>85725</xdr:colOff>
      <xdr:row>28</xdr:row>
      <xdr:rowOff>42557</xdr:rowOff>
    </xdr:to>
    <xdr:sp macro="" textlink="">
      <xdr:nvSpPr>
        <xdr:cNvPr id="1101" name="Text Box 12">
          <a:extLst>
            <a:ext uri="{FF2B5EF4-FFF2-40B4-BE49-F238E27FC236}">
              <a16:creationId xmlns="" xmlns:a16="http://schemas.microsoft.com/office/drawing/2014/main" id="{63181857-CFA3-4E99-AF48-D25203DEAACE}"/>
            </a:ext>
          </a:extLst>
        </xdr:cNvPr>
        <xdr:cNvSpPr txBox="1">
          <a:spLocks noChangeArrowheads="1"/>
        </xdr:cNvSpPr>
      </xdr:nvSpPr>
      <xdr:spPr bwMode="auto">
        <a:xfrm>
          <a:off x="5743575" y="13896975"/>
          <a:ext cx="76200" cy="1566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25</xdr:row>
      <xdr:rowOff>0</xdr:rowOff>
    </xdr:from>
    <xdr:to>
      <xdr:col>5</xdr:col>
      <xdr:colOff>85725</xdr:colOff>
      <xdr:row>28</xdr:row>
      <xdr:rowOff>42557</xdr:rowOff>
    </xdr:to>
    <xdr:sp macro="" textlink="">
      <xdr:nvSpPr>
        <xdr:cNvPr id="1102" name="Text Box 10">
          <a:extLst>
            <a:ext uri="{FF2B5EF4-FFF2-40B4-BE49-F238E27FC236}">
              <a16:creationId xmlns="" xmlns:a16="http://schemas.microsoft.com/office/drawing/2014/main" id="{84119ABE-9702-4F01-996D-8C732AB83C94}"/>
            </a:ext>
          </a:extLst>
        </xdr:cNvPr>
        <xdr:cNvSpPr txBox="1">
          <a:spLocks noChangeArrowheads="1"/>
        </xdr:cNvSpPr>
      </xdr:nvSpPr>
      <xdr:spPr bwMode="auto">
        <a:xfrm>
          <a:off x="5743575" y="13896975"/>
          <a:ext cx="76200" cy="1566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25</xdr:row>
      <xdr:rowOff>0</xdr:rowOff>
    </xdr:from>
    <xdr:to>
      <xdr:col>5</xdr:col>
      <xdr:colOff>85725</xdr:colOff>
      <xdr:row>28</xdr:row>
      <xdr:rowOff>42557</xdr:rowOff>
    </xdr:to>
    <xdr:sp macro="" textlink="">
      <xdr:nvSpPr>
        <xdr:cNvPr id="1103" name="Text Box 11">
          <a:extLst>
            <a:ext uri="{FF2B5EF4-FFF2-40B4-BE49-F238E27FC236}">
              <a16:creationId xmlns="" xmlns:a16="http://schemas.microsoft.com/office/drawing/2014/main" id="{7176E932-B223-4734-9FE7-1839BEDEC23E}"/>
            </a:ext>
          </a:extLst>
        </xdr:cNvPr>
        <xdr:cNvSpPr txBox="1">
          <a:spLocks noChangeArrowheads="1"/>
        </xdr:cNvSpPr>
      </xdr:nvSpPr>
      <xdr:spPr bwMode="auto">
        <a:xfrm>
          <a:off x="5743575" y="13896975"/>
          <a:ext cx="76200" cy="1566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9525</xdr:colOff>
      <xdr:row>25</xdr:row>
      <xdr:rowOff>0</xdr:rowOff>
    </xdr:from>
    <xdr:to>
      <xdr:col>5</xdr:col>
      <xdr:colOff>85725</xdr:colOff>
      <xdr:row>28</xdr:row>
      <xdr:rowOff>42557</xdr:rowOff>
    </xdr:to>
    <xdr:sp macro="" textlink="">
      <xdr:nvSpPr>
        <xdr:cNvPr id="1104" name="Text Box 12">
          <a:extLst>
            <a:ext uri="{FF2B5EF4-FFF2-40B4-BE49-F238E27FC236}">
              <a16:creationId xmlns="" xmlns:a16="http://schemas.microsoft.com/office/drawing/2014/main" id="{4D9D8781-66D6-40EC-BC56-DA2CF03AA513}"/>
            </a:ext>
          </a:extLst>
        </xdr:cNvPr>
        <xdr:cNvSpPr txBox="1">
          <a:spLocks noChangeArrowheads="1"/>
        </xdr:cNvSpPr>
      </xdr:nvSpPr>
      <xdr:spPr bwMode="auto">
        <a:xfrm>
          <a:off x="5743575" y="13896975"/>
          <a:ext cx="76200" cy="1566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105" name="Text Box 10">
          <a:extLst>
            <a:ext uri="{FF2B5EF4-FFF2-40B4-BE49-F238E27FC236}">
              <a16:creationId xmlns="" xmlns:a16="http://schemas.microsoft.com/office/drawing/2014/main" id="{A430A888-0E58-40A3-8A50-43E0B2FBF89C}"/>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106" name="Text Box 11">
          <a:extLst>
            <a:ext uri="{FF2B5EF4-FFF2-40B4-BE49-F238E27FC236}">
              <a16:creationId xmlns="" xmlns:a16="http://schemas.microsoft.com/office/drawing/2014/main" id="{D0A72896-31EE-42C3-B84B-925677195202}"/>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107" name="Text Box 12">
          <a:extLst>
            <a:ext uri="{FF2B5EF4-FFF2-40B4-BE49-F238E27FC236}">
              <a16:creationId xmlns="" xmlns:a16="http://schemas.microsoft.com/office/drawing/2014/main" id="{53654157-56EA-4670-8947-43EBDC0EF593}"/>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108" name="Text Box 10">
          <a:extLst>
            <a:ext uri="{FF2B5EF4-FFF2-40B4-BE49-F238E27FC236}">
              <a16:creationId xmlns="" xmlns:a16="http://schemas.microsoft.com/office/drawing/2014/main" id="{79C98029-3347-4091-A1FB-B2EC47CB8236}"/>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109" name="Text Box 11">
          <a:extLst>
            <a:ext uri="{FF2B5EF4-FFF2-40B4-BE49-F238E27FC236}">
              <a16:creationId xmlns="" xmlns:a16="http://schemas.microsoft.com/office/drawing/2014/main" id="{9AD88790-DA14-4FF4-BD9D-67DFDF55B9AA}"/>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110" name="Text Box 12">
          <a:extLst>
            <a:ext uri="{FF2B5EF4-FFF2-40B4-BE49-F238E27FC236}">
              <a16:creationId xmlns="" xmlns:a16="http://schemas.microsoft.com/office/drawing/2014/main" id="{350B9895-D48E-4B7C-ACEE-56FEB48D7FB6}"/>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111" name="Text Box 10">
          <a:extLst>
            <a:ext uri="{FF2B5EF4-FFF2-40B4-BE49-F238E27FC236}">
              <a16:creationId xmlns="" xmlns:a16="http://schemas.microsoft.com/office/drawing/2014/main" id="{5CE59CD3-60D7-417B-9328-FE74A8C5DD71}"/>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112" name="Text Box 11">
          <a:extLst>
            <a:ext uri="{FF2B5EF4-FFF2-40B4-BE49-F238E27FC236}">
              <a16:creationId xmlns="" xmlns:a16="http://schemas.microsoft.com/office/drawing/2014/main" id="{D7DB826C-A1CD-49A3-8E1F-7B7F7A7A07D6}"/>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113" name="Text Box 12">
          <a:extLst>
            <a:ext uri="{FF2B5EF4-FFF2-40B4-BE49-F238E27FC236}">
              <a16:creationId xmlns="" xmlns:a16="http://schemas.microsoft.com/office/drawing/2014/main" id="{BCD4FA3A-5236-402F-9BFD-ADE156BA73C9}"/>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114" name="Text Box 10">
          <a:extLst>
            <a:ext uri="{FF2B5EF4-FFF2-40B4-BE49-F238E27FC236}">
              <a16:creationId xmlns="" xmlns:a16="http://schemas.microsoft.com/office/drawing/2014/main" id="{EACCA189-6040-454E-9B3E-57525217BA25}"/>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115" name="Text Box 11">
          <a:extLst>
            <a:ext uri="{FF2B5EF4-FFF2-40B4-BE49-F238E27FC236}">
              <a16:creationId xmlns="" xmlns:a16="http://schemas.microsoft.com/office/drawing/2014/main" id="{74046EE5-88C9-4BD7-A7C0-25F019163A0B}"/>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116" name="Text Box 12">
          <a:extLst>
            <a:ext uri="{FF2B5EF4-FFF2-40B4-BE49-F238E27FC236}">
              <a16:creationId xmlns="" xmlns:a16="http://schemas.microsoft.com/office/drawing/2014/main" id="{216F892D-5329-48C7-BB0D-CCC542B91457}"/>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117" name="Text Box 10">
          <a:extLst>
            <a:ext uri="{FF2B5EF4-FFF2-40B4-BE49-F238E27FC236}">
              <a16:creationId xmlns="" xmlns:a16="http://schemas.microsoft.com/office/drawing/2014/main" id="{2FCCA72D-689B-473B-AADB-9C6E86CE608E}"/>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118" name="Text Box 11">
          <a:extLst>
            <a:ext uri="{FF2B5EF4-FFF2-40B4-BE49-F238E27FC236}">
              <a16:creationId xmlns="" xmlns:a16="http://schemas.microsoft.com/office/drawing/2014/main" id="{82C56FAA-C594-4AB5-B068-FB26E7AFA5F8}"/>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119" name="Text Box 12">
          <a:extLst>
            <a:ext uri="{FF2B5EF4-FFF2-40B4-BE49-F238E27FC236}">
              <a16:creationId xmlns="" xmlns:a16="http://schemas.microsoft.com/office/drawing/2014/main" id="{8B0C40B3-E9E2-4A6C-B050-432DBF86685A}"/>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120" name="Text Box 10">
          <a:extLst>
            <a:ext uri="{FF2B5EF4-FFF2-40B4-BE49-F238E27FC236}">
              <a16:creationId xmlns="" xmlns:a16="http://schemas.microsoft.com/office/drawing/2014/main" id="{D3A75108-E72D-4B96-98F9-2F0069CFF16C}"/>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121" name="Text Box 11">
          <a:extLst>
            <a:ext uri="{FF2B5EF4-FFF2-40B4-BE49-F238E27FC236}">
              <a16:creationId xmlns="" xmlns:a16="http://schemas.microsoft.com/office/drawing/2014/main" id="{6838C06A-6543-480B-B35F-1822CCA5E1BE}"/>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122" name="Text Box 12">
          <a:extLst>
            <a:ext uri="{FF2B5EF4-FFF2-40B4-BE49-F238E27FC236}">
              <a16:creationId xmlns="" xmlns:a16="http://schemas.microsoft.com/office/drawing/2014/main" id="{223AD56E-6A20-459B-8A8E-D571AA6100B8}"/>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123" name="Text Box 10">
          <a:extLst>
            <a:ext uri="{FF2B5EF4-FFF2-40B4-BE49-F238E27FC236}">
              <a16:creationId xmlns="" xmlns:a16="http://schemas.microsoft.com/office/drawing/2014/main" id="{214053A0-DF25-41A7-B6C9-DEDEA04A7E61}"/>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124" name="Text Box 11">
          <a:extLst>
            <a:ext uri="{FF2B5EF4-FFF2-40B4-BE49-F238E27FC236}">
              <a16:creationId xmlns="" xmlns:a16="http://schemas.microsoft.com/office/drawing/2014/main" id="{6BA1CBEF-94DE-4710-8FF1-CA0121507F6C}"/>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125" name="Text Box 12">
          <a:extLst>
            <a:ext uri="{FF2B5EF4-FFF2-40B4-BE49-F238E27FC236}">
              <a16:creationId xmlns="" xmlns:a16="http://schemas.microsoft.com/office/drawing/2014/main" id="{CA8EAE16-2A75-4E7A-920A-C2EB9A97E57E}"/>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126" name="Text Box 10">
          <a:extLst>
            <a:ext uri="{FF2B5EF4-FFF2-40B4-BE49-F238E27FC236}">
              <a16:creationId xmlns="" xmlns:a16="http://schemas.microsoft.com/office/drawing/2014/main" id="{4FEE2002-4507-458A-8854-27BE5DF62F6E}"/>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127" name="Text Box 11">
          <a:extLst>
            <a:ext uri="{FF2B5EF4-FFF2-40B4-BE49-F238E27FC236}">
              <a16:creationId xmlns="" xmlns:a16="http://schemas.microsoft.com/office/drawing/2014/main" id="{115E4F7B-E488-45FC-BF05-98A9B91E6940}"/>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128" name="Text Box 12">
          <a:extLst>
            <a:ext uri="{FF2B5EF4-FFF2-40B4-BE49-F238E27FC236}">
              <a16:creationId xmlns="" xmlns:a16="http://schemas.microsoft.com/office/drawing/2014/main" id="{707CBFB3-A2BE-419B-A50F-023165043275}"/>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129" name="Text Box 10">
          <a:extLst>
            <a:ext uri="{FF2B5EF4-FFF2-40B4-BE49-F238E27FC236}">
              <a16:creationId xmlns="" xmlns:a16="http://schemas.microsoft.com/office/drawing/2014/main" id="{5283273D-0C7B-4FB7-8672-3CFF0C7DE150}"/>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130" name="Text Box 11">
          <a:extLst>
            <a:ext uri="{FF2B5EF4-FFF2-40B4-BE49-F238E27FC236}">
              <a16:creationId xmlns="" xmlns:a16="http://schemas.microsoft.com/office/drawing/2014/main" id="{F85D3E42-6DCD-4DB1-AC12-42EC5AB5CDF3}"/>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131" name="Text Box 12">
          <a:extLst>
            <a:ext uri="{FF2B5EF4-FFF2-40B4-BE49-F238E27FC236}">
              <a16:creationId xmlns="" xmlns:a16="http://schemas.microsoft.com/office/drawing/2014/main" id="{D66F240B-B98E-4EEE-8945-A4535E045D3A}"/>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132" name="Text Box 10">
          <a:extLst>
            <a:ext uri="{FF2B5EF4-FFF2-40B4-BE49-F238E27FC236}">
              <a16:creationId xmlns="" xmlns:a16="http://schemas.microsoft.com/office/drawing/2014/main" id="{0296329D-B38E-4619-89B2-95F1BEF85F48}"/>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133" name="Text Box 11">
          <a:extLst>
            <a:ext uri="{FF2B5EF4-FFF2-40B4-BE49-F238E27FC236}">
              <a16:creationId xmlns="" xmlns:a16="http://schemas.microsoft.com/office/drawing/2014/main" id="{1CF967F4-4BB5-4234-AA00-2C2FB86C7A10}"/>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134" name="Text Box 12">
          <a:extLst>
            <a:ext uri="{FF2B5EF4-FFF2-40B4-BE49-F238E27FC236}">
              <a16:creationId xmlns="" xmlns:a16="http://schemas.microsoft.com/office/drawing/2014/main" id="{04D31456-2F7E-4D30-9347-968033C63FD5}"/>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135" name="Text Box 10">
          <a:extLst>
            <a:ext uri="{FF2B5EF4-FFF2-40B4-BE49-F238E27FC236}">
              <a16:creationId xmlns="" xmlns:a16="http://schemas.microsoft.com/office/drawing/2014/main" id="{80083F1D-79C7-446B-90CC-CDCE98B2E46B}"/>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136" name="Text Box 11">
          <a:extLst>
            <a:ext uri="{FF2B5EF4-FFF2-40B4-BE49-F238E27FC236}">
              <a16:creationId xmlns="" xmlns:a16="http://schemas.microsoft.com/office/drawing/2014/main" id="{58E72A97-9003-4DEE-8FAE-7A5BF90B485B}"/>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137" name="Text Box 12">
          <a:extLst>
            <a:ext uri="{FF2B5EF4-FFF2-40B4-BE49-F238E27FC236}">
              <a16:creationId xmlns="" xmlns:a16="http://schemas.microsoft.com/office/drawing/2014/main" id="{63EB9DA5-EED2-492C-8740-95039A1D4275}"/>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138" name="Text Box 10">
          <a:extLst>
            <a:ext uri="{FF2B5EF4-FFF2-40B4-BE49-F238E27FC236}">
              <a16:creationId xmlns="" xmlns:a16="http://schemas.microsoft.com/office/drawing/2014/main" id="{45AE1B6D-8A7C-44EA-A76A-4892D5111826}"/>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139" name="Text Box 11">
          <a:extLst>
            <a:ext uri="{FF2B5EF4-FFF2-40B4-BE49-F238E27FC236}">
              <a16:creationId xmlns="" xmlns:a16="http://schemas.microsoft.com/office/drawing/2014/main" id="{2D439AC1-204B-46A6-B23C-581B8E35D624}"/>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140" name="Text Box 12">
          <a:extLst>
            <a:ext uri="{FF2B5EF4-FFF2-40B4-BE49-F238E27FC236}">
              <a16:creationId xmlns="" xmlns:a16="http://schemas.microsoft.com/office/drawing/2014/main" id="{4FAB91D7-5C91-41BB-B9D5-05F54357A907}"/>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141" name="Text Box 10">
          <a:extLst>
            <a:ext uri="{FF2B5EF4-FFF2-40B4-BE49-F238E27FC236}">
              <a16:creationId xmlns="" xmlns:a16="http://schemas.microsoft.com/office/drawing/2014/main" id="{820B967F-9EF5-4107-A3EE-6C5B53367B06}"/>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142" name="Text Box 11">
          <a:extLst>
            <a:ext uri="{FF2B5EF4-FFF2-40B4-BE49-F238E27FC236}">
              <a16:creationId xmlns="" xmlns:a16="http://schemas.microsoft.com/office/drawing/2014/main" id="{B7BFF26B-8B7B-4370-BD3B-391B77FB5159}"/>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143" name="Text Box 12">
          <a:extLst>
            <a:ext uri="{FF2B5EF4-FFF2-40B4-BE49-F238E27FC236}">
              <a16:creationId xmlns="" xmlns:a16="http://schemas.microsoft.com/office/drawing/2014/main" id="{45EEEB28-6463-4FD3-8893-0E3A5659353B}"/>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144" name="Text Box 10">
          <a:extLst>
            <a:ext uri="{FF2B5EF4-FFF2-40B4-BE49-F238E27FC236}">
              <a16:creationId xmlns="" xmlns:a16="http://schemas.microsoft.com/office/drawing/2014/main" id="{B6C79E04-995A-4E67-B5F9-5FFB55F36B48}"/>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145" name="Text Box 11">
          <a:extLst>
            <a:ext uri="{FF2B5EF4-FFF2-40B4-BE49-F238E27FC236}">
              <a16:creationId xmlns="" xmlns:a16="http://schemas.microsoft.com/office/drawing/2014/main" id="{710F1D12-C8C7-4694-9F5F-F6EEAE4E11CA}"/>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146" name="Text Box 12">
          <a:extLst>
            <a:ext uri="{FF2B5EF4-FFF2-40B4-BE49-F238E27FC236}">
              <a16:creationId xmlns="" xmlns:a16="http://schemas.microsoft.com/office/drawing/2014/main" id="{4F5542F8-A84E-45CC-AAB6-012F757BC513}"/>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147" name="Text Box 10">
          <a:extLst>
            <a:ext uri="{FF2B5EF4-FFF2-40B4-BE49-F238E27FC236}">
              <a16:creationId xmlns="" xmlns:a16="http://schemas.microsoft.com/office/drawing/2014/main" id="{14C235C5-074C-40E1-ADB7-09A7F08B8B6F}"/>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148" name="Text Box 11">
          <a:extLst>
            <a:ext uri="{FF2B5EF4-FFF2-40B4-BE49-F238E27FC236}">
              <a16:creationId xmlns="" xmlns:a16="http://schemas.microsoft.com/office/drawing/2014/main" id="{0C5D78F6-C9CA-4FF7-8BD3-DF5B65513FF5}"/>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149" name="Text Box 12">
          <a:extLst>
            <a:ext uri="{FF2B5EF4-FFF2-40B4-BE49-F238E27FC236}">
              <a16:creationId xmlns="" xmlns:a16="http://schemas.microsoft.com/office/drawing/2014/main" id="{A0714EA9-5FE4-4F4D-B321-5ACF9B0431A1}"/>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150" name="Text Box 10">
          <a:extLst>
            <a:ext uri="{FF2B5EF4-FFF2-40B4-BE49-F238E27FC236}">
              <a16:creationId xmlns="" xmlns:a16="http://schemas.microsoft.com/office/drawing/2014/main" id="{129D61C5-E07C-4B81-8829-930D8274499B}"/>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151" name="Text Box 11">
          <a:extLst>
            <a:ext uri="{FF2B5EF4-FFF2-40B4-BE49-F238E27FC236}">
              <a16:creationId xmlns="" xmlns:a16="http://schemas.microsoft.com/office/drawing/2014/main" id="{C81D9C7E-AB75-49CB-9ECF-82D5552B3300}"/>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152" name="Text Box 12">
          <a:extLst>
            <a:ext uri="{FF2B5EF4-FFF2-40B4-BE49-F238E27FC236}">
              <a16:creationId xmlns="" xmlns:a16="http://schemas.microsoft.com/office/drawing/2014/main" id="{E5485CD2-FF95-4EE0-AD48-5AD10DFC4EA7}"/>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153" name="Text Box 10">
          <a:extLst>
            <a:ext uri="{FF2B5EF4-FFF2-40B4-BE49-F238E27FC236}">
              <a16:creationId xmlns="" xmlns:a16="http://schemas.microsoft.com/office/drawing/2014/main" id="{16F9E9A9-3FEE-4696-9A3C-72676FC96CC3}"/>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154" name="Text Box 11">
          <a:extLst>
            <a:ext uri="{FF2B5EF4-FFF2-40B4-BE49-F238E27FC236}">
              <a16:creationId xmlns="" xmlns:a16="http://schemas.microsoft.com/office/drawing/2014/main" id="{76D9BAA9-AB18-4607-93CF-AEDF3499CCDD}"/>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155" name="Text Box 12">
          <a:extLst>
            <a:ext uri="{FF2B5EF4-FFF2-40B4-BE49-F238E27FC236}">
              <a16:creationId xmlns="" xmlns:a16="http://schemas.microsoft.com/office/drawing/2014/main" id="{BF648061-D305-4FF4-9937-660B72848F1C}"/>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156" name="Text Box 10">
          <a:extLst>
            <a:ext uri="{FF2B5EF4-FFF2-40B4-BE49-F238E27FC236}">
              <a16:creationId xmlns="" xmlns:a16="http://schemas.microsoft.com/office/drawing/2014/main" id="{7A425B22-ADFB-4E83-B16E-3DBA9A275EFD}"/>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157" name="Text Box 11">
          <a:extLst>
            <a:ext uri="{FF2B5EF4-FFF2-40B4-BE49-F238E27FC236}">
              <a16:creationId xmlns="" xmlns:a16="http://schemas.microsoft.com/office/drawing/2014/main" id="{5D7ADB3B-8C98-4754-8233-3997E1220436}"/>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158" name="Text Box 12">
          <a:extLst>
            <a:ext uri="{FF2B5EF4-FFF2-40B4-BE49-F238E27FC236}">
              <a16:creationId xmlns="" xmlns:a16="http://schemas.microsoft.com/office/drawing/2014/main" id="{FD526BAC-8F81-4EBC-A5B4-21B7292C2A30}"/>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159" name="Text Box 10">
          <a:extLst>
            <a:ext uri="{FF2B5EF4-FFF2-40B4-BE49-F238E27FC236}">
              <a16:creationId xmlns="" xmlns:a16="http://schemas.microsoft.com/office/drawing/2014/main" id="{D48028BC-1DD3-47BF-AC0F-93F03D2059CE}"/>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160" name="Text Box 11">
          <a:extLst>
            <a:ext uri="{FF2B5EF4-FFF2-40B4-BE49-F238E27FC236}">
              <a16:creationId xmlns="" xmlns:a16="http://schemas.microsoft.com/office/drawing/2014/main" id="{7F8FAB9F-724D-43D2-9FA4-89EAF4AB1541}"/>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161" name="Text Box 12">
          <a:extLst>
            <a:ext uri="{FF2B5EF4-FFF2-40B4-BE49-F238E27FC236}">
              <a16:creationId xmlns="" xmlns:a16="http://schemas.microsoft.com/office/drawing/2014/main" id="{283D95F0-C7E9-483D-9497-9D626621C0F7}"/>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162" name="Text Box 10">
          <a:extLst>
            <a:ext uri="{FF2B5EF4-FFF2-40B4-BE49-F238E27FC236}">
              <a16:creationId xmlns="" xmlns:a16="http://schemas.microsoft.com/office/drawing/2014/main" id="{013AA8C2-CF6E-4BB6-BA6B-53CA71C63A1E}"/>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163" name="Text Box 11">
          <a:extLst>
            <a:ext uri="{FF2B5EF4-FFF2-40B4-BE49-F238E27FC236}">
              <a16:creationId xmlns="" xmlns:a16="http://schemas.microsoft.com/office/drawing/2014/main" id="{627290F8-1E7F-4BCA-8BD1-EB46A3AEDABE}"/>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164" name="Text Box 12">
          <a:extLst>
            <a:ext uri="{FF2B5EF4-FFF2-40B4-BE49-F238E27FC236}">
              <a16:creationId xmlns="" xmlns:a16="http://schemas.microsoft.com/office/drawing/2014/main" id="{3D548255-7C61-43C1-9F46-F71952256A18}"/>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165" name="Text Box 10">
          <a:extLst>
            <a:ext uri="{FF2B5EF4-FFF2-40B4-BE49-F238E27FC236}">
              <a16:creationId xmlns="" xmlns:a16="http://schemas.microsoft.com/office/drawing/2014/main" id="{0C4A996B-652E-468E-935A-2744C398CE7A}"/>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166" name="Text Box 11">
          <a:extLst>
            <a:ext uri="{FF2B5EF4-FFF2-40B4-BE49-F238E27FC236}">
              <a16:creationId xmlns="" xmlns:a16="http://schemas.microsoft.com/office/drawing/2014/main" id="{F0B6E25E-9398-4A22-8D15-32C353797E5B}"/>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167" name="Text Box 12">
          <a:extLst>
            <a:ext uri="{FF2B5EF4-FFF2-40B4-BE49-F238E27FC236}">
              <a16:creationId xmlns="" xmlns:a16="http://schemas.microsoft.com/office/drawing/2014/main" id="{D7176514-3DF4-49F5-88A1-668D0207C018}"/>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168" name="Text Box 10">
          <a:extLst>
            <a:ext uri="{FF2B5EF4-FFF2-40B4-BE49-F238E27FC236}">
              <a16:creationId xmlns="" xmlns:a16="http://schemas.microsoft.com/office/drawing/2014/main" id="{3437BD60-1329-4295-920F-BCFBF6A5401A}"/>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169" name="Text Box 11">
          <a:extLst>
            <a:ext uri="{FF2B5EF4-FFF2-40B4-BE49-F238E27FC236}">
              <a16:creationId xmlns="" xmlns:a16="http://schemas.microsoft.com/office/drawing/2014/main" id="{BAE241C0-80E1-4C3D-9800-A365A510F456}"/>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170" name="Text Box 12">
          <a:extLst>
            <a:ext uri="{FF2B5EF4-FFF2-40B4-BE49-F238E27FC236}">
              <a16:creationId xmlns="" xmlns:a16="http://schemas.microsoft.com/office/drawing/2014/main" id="{1E863D57-1B57-4416-8E55-5CDD8618E9D3}"/>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171" name="Text Box 10">
          <a:extLst>
            <a:ext uri="{FF2B5EF4-FFF2-40B4-BE49-F238E27FC236}">
              <a16:creationId xmlns="" xmlns:a16="http://schemas.microsoft.com/office/drawing/2014/main" id="{EA9C1B62-602F-4E0D-ABFD-41D5F035EE72}"/>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172" name="Text Box 11">
          <a:extLst>
            <a:ext uri="{FF2B5EF4-FFF2-40B4-BE49-F238E27FC236}">
              <a16:creationId xmlns="" xmlns:a16="http://schemas.microsoft.com/office/drawing/2014/main" id="{657339D2-B5E9-45CE-B34B-39EE82A329E1}"/>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173" name="Text Box 12">
          <a:extLst>
            <a:ext uri="{FF2B5EF4-FFF2-40B4-BE49-F238E27FC236}">
              <a16:creationId xmlns="" xmlns:a16="http://schemas.microsoft.com/office/drawing/2014/main" id="{6F6A144E-2BE0-4A07-9F2F-2F899889649A}"/>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174" name="Text Box 10">
          <a:extLst>
            <a:ext uri="{FF2B5EF4-FFF2-40B4-BE49-F238E27FC236}">
              <a16:creationId xmlns="" xmlns:a16="http://schemas.microsoft.com/office/drawing/2014/main" id="{B7AFE370-7D39-4EB8-8732-850660DEAD65}"/>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175" name="Text Box 11">
          <a:extLst>
            <a:ext uri="{FF2B5EF4-FFF2-40B4-BE49-F238E27FC236}">
              <a16:creationId xmlns="" xmlns:a16="http://schemas.microsoft.com/office/drawing/2014/main" id="{B2A7AC37-5D80-4E9D-BB68-7E8A127315CA}"/>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176" name="Text Box 12">
          <a:extLst>
            <a:ext uri="{FF2B5EF4-FFF2-40B4-BE49-F238E27FC236}">
              <a16:creationId xmlns="" xmlns:a16="http://schemas.microsoft.com/office/drawing/2014/main" id="{1695B3BE-175C-4BBA-A948-0657C9671746}"/>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177" name="Text Box 10">
          <a:extLst>
            <a:ext uri="{FF2B5EF4-FFF2-40B4-BE49-F238E27FC236}">
              <a16:creationId xmlns="" xmlns:a16="http://schemas.microsoft.com/office/drawing/2014/main" id="{9EDDE46D-4563-4702-82FB-FF3C14A65A6C}"/>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178" name="Text Box 11">
          <a:extLst>
            <a:ext uri="{FF2B5EF4-FFF2-40B4-BE49-F238E27FC236}">
              <a16:creationId xmlns="" xmlns:a16="http://schemas.microsoft.com/office/drawing/2014/main" id="{9E8BC55A-B914-454E-87E6-60114F37B8A9}"/>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179" name="Text Box 12">
          <a:extLst>
            <a:ext uri="{FF2B5EF4-FFF2-40B4-BE49-F238E27FC236}">
              <a16:creationId xmlns="" xmlns:a16="http://schemas.microsoft.com/office/drawing/2014/main" id="{0880EBA3-41CC-4835-8FE0-639C4A097408}"/>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180" name="Text Box 10">
          <a:extLst>
            <a:ext uri="{FF2B5EF4-FFF2-40B4-BE49-F238E27FC236}">
              <a16:creationId xmlns="" xmlns:a16="http://schemas.microsoft.com/office/drawing/2014/main" id="{AE2E870D-76DB-406A-B897-610B823D31B2}"/>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181" name="Text Box 11">
          <a:extLst>
            <a:ext uri="{FF2B5EF4-FFF2-40B4-BE49-F238E27FC236}">
              <a16:creationId xmlns="" xmlns:a16="http://schemas.microsoft.com/office/drawing/2014/main" id="{DAB3B710-AAAB-4170-9EB1-317583B734F9}"/>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182" name="Text Box 12">
          <a:extLst>
            <a:ext uri="{FF2B5EF4-FFF2-40B4-BE49-F238E27FC236}">
              <a16:creationId xmlns="" xmlns:a16="http://schemas.microsoft.com/office/drawing/2014/main" id="{DA32A6BD-0C71-4279-980D-75EF9FB46B83}"/>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183" name="Text Box 10">
          <a:extLst>
            <a:ext uri="{FF2B5EF4-FFF2-40B4-BE49-F238E27FC236}">
              <a16:creationId xmlns="" xmlns:a16="http://schemas.microsoft.com/office/drawing/2014/main" id="{A748E049-568F-47CA-B5AF-4F66228EC138}"/>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184" name="Text Box 11">
          <a:extLst>
            <a:ext uri="{FF2B5EF4-FFF2-40B4-BE49-F238E27FC236}">
              <a16:creationId xmlns="" xmlns:a16="http://schemas.microsoft.com/office/drawing/2014/main" id="{9D833588-ED5D-4EB6-AC5D-58DEE0B55809}"/>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185" name="Text Box 12">
          <a:extLst>
            <a:ext uri="{FF2B5EF4-FFF2-40B4-BE49-F238E27FC236}">
              <a16:creationId xmlns="" xmlns:a16="http://schemas.microsoft.com/office/drawing/2014/main" id="{BE1DF7FC-0276-4750-88BB-CCF968EE5FE1}"/>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186" name="Text Box 10">
          <a:extLst>
            <a:ext uri="{FF2B5EF4-FFF2-40B4-BE49-F238E27FC236}">
              <a16:creationId xmlns="" xmlns:a16="http://schemas.microsoft.com/office/drawing/2014/main" id="{FC7C7698-94EE-4B37-9980-C74F9D1EB78F}"/>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187" name="Text Box 11">
          <a:extLst>
            <a:ext uri="{FF2B5EF4-FFF2-40B4-BE49-F238E27FC236}">
              <a16:creationId xmlns="" xmlns:a16="http://schemas.microsoft.com/office/drawing/2014/main" id="{E708A97F-6739-4116-A8BA-380E771963E4}"/>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188" name="Text Box 12">
          <a:extLst>
            <a:ext uri="{FF2B5EF4-FFF2-40B4-BE49-F238E27FC236}">
              <a16:creationId xmlns="" xmlns:a16="http://schemas.microsoft.com/office/drawing/2014/main" id="{43A3A145-F1AA-45D8-BD18-1AA6CF2B931B}"/>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189" name="Text Box 10">
          <a:extLst>
            <a:ext uri="{FF2B5EF4-FFF2-40B4-BE49-F238E27FC236}">
              <a16:creationId xmlns="" xmlns:a16="http://schemas.microsoft.com/office/drawing/2014/main" id="{D7A2EBCA-E9FC-4E2C-81FF-4A3136DADC6F}"/>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190" name="Text Box 11">
          <a:extLst>
            <a:ext uri="{FF2B5EF4-FFF2-40B4-BE49-F238E27FC236}">
              <a16:creationId xmlns="" xmlns:a16="http://schemas.microsoft.com/office/drawing/2014/main" id="{34E3D60E-051B-48B4-BD95-966B389AD014}"/>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191" name="Text Box 12">
          <a:extLst>
            <a:ext uri="{FF2B5EF4-FFF2-40B4-BE49-F238E27FC236}">
              <a16:creationId xmlns="" xmlns:a16="http://schemas.microsoft.com/office/drawing/2014/main" id="{71F9B798-6103-4312-92F8-9DC204AA4FDB}"/>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192" name="Text Box 10">
          <a:extLst>
            <a:ext uri="{FF2B5EF4-FFF2-40B4-BE49-F238E27FC236}">
              <a16:creationId xmlns="" xmlns:a16="http://schemas.microsoft.com/office/drawing/2014/main" id="{ED1FE0DF-09E9-4971-A88B-4302F9E9A428}"/>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193" name="Text Box 11">
          <a:extLst>
            <a:ext uri="{FF2B5EF4-FFF2-40B4-BE49-F238E27FC236}">
              <a16:creationId xmlns="" xmlns:a16="http://schemas.microsoft.com/office/drawing/2014/main" id="{4C1A788D-0120-456B-BA70-2ACF632B1287}"/>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194" name="Text Box 12">
          <a:extLst>
            <a:ext uri="{FF2B5EF4-FFF2-40B4-BE49-F238E27FC236}">
              <a16:creationId xmlns="" xmlns:a16="http://schemas.microsoft.com/office/drawing/2014/main" id="{BB1214BE-DAA8-462C-9982-06248C34A847}"/>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195" name="Text Box 10">
          <a:extLst>
            <a:ext uri="{FF2B5EF4-FFF2-40B4-BE49-F238E27FC236}">
              <a16:creationId xmlns="" xmlns:a16="http://schemas.microsoft.com/office/drawing/2014/main" id="{94A6F122-16BD-43D6-A4C4-22FE38BD5531}"/>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196" name="Text Box 11">
          <a:extLst>
            <a:ext uri="{FF2B5EF4-FFF2-40B4-BE49-F238E27FC236}">
              <a16:creationId xmlns="" xmlns:a16="http://schemas.microsoft.com/office/drawing/2014/main" id="{2E5C6541-AB0E-4502-9D92-3AFDDC3AE851}"/>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197" name="Text Box 12">
          <a:extLst>
            <a:ext uri="{FF2B5EF4-FFF2-40B4-BE49-F238E27FC236}">
              <a16:creationId xmlns="" xmlns:a16="http://schemas.microsoft.com/office/drawing/2014/main" id="{893AFA16-2FD9-4F13-AECF-D6F4044EB971}"/>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198" name="Text Box 10">
          <a:extLst>
            <a:ext uri="{FF2B5EF4-FFF2-40B4-BE49-F238E27FC236}">
              <a16:creationId xmlns="" xmlns:a16="http://schemas.microsoft.com/office/drawing/2014/main" id="{E7A349B7-ABB8-41A4-9333-5162CB6B1657}"/>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199" name="Text Box 11">
          <a:extLst>
            <a:ext uri="{FF2B5EF4-FFF2-40B4-BE49-F238E27FC236}">
              <a16:creationId xmlns="" xmlns:a16="http://schemas.microsoft.com/office/drawing/2014/main" id="{ACE031B7-C2A9-4732-9CDE-8E0FF906ABE2}"/>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200" name="Text Box 12">
          <a:extLst>
            <a:ext uri="{FF2B5EF4-FFF2-40B4-BE49-F238E27FC236}">
              <a16:creationId xmlns="" xmlns:a16="http://schemas.microsoft.com/office/drawing/2014/main" id="{B17E1C56-FA04-43CB-A10F-D7CA784084AC}"/>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201" name="Text Box 10">
          <a:extLst>
            <a:ext uri="{FF2B5EF4-FFF2-40B4-BE49-F238E27FC236}">
              <a16:creationId xmlns="" xmlns:a16="http://schemas.microsoft.com/office/drawing/2014/main" id="{1C94BD96-D59A-453A-AF97-705BA1364E58}"/>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202" name="Text Box 11">
          <a:extLst>
            <a:ext uri="{FF2B5EF4-FFF2-40B4-BE49-F238E27FC236}">
              <a16:creationId xmlns="" xmlns:a16="http://schemas.microsoft.com/office/drawing/2014/main" id="{A5BA3ED3-7FAA-4D19-A756-2887DDDDBFB9}"/>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203" name="Text Box 12">
          <a:extLst>
            <a:ext uri="{FF2B5EF4-FFF2-40B4-BE49-F238E27FC236}">
              <a16:creationId xmlns="" xmlns:a16="http://schemas.microsoft.com/office/drawing/2014/main" id="{F159F3C2-2BA9-4D2C-81BC-B3CD79176B64}"/>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204" name="Text Box 10">
          <a:extLst>
            <a:ext uri="{FF2B5EF4-FFF2-40B4-BE49-F238E27FC236}">
              <a16:creationId xmlns="" xmlns:a16="http://schemas.microsoft.com/office/drawing/2014/main" id="{A0761141-4EAE-48F2-801D-0C34B6D5F62B}"/>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205" name="Text Box 11">
          <a:extLst>
            <a:ext uri="{FF2B5EF4-FFF2-40B4-BE49-F238E27FC236}">
              <a16:creationId xmlns="" xmlns:a16="http://schemas.microsoft.com/office/drawing/2014/main" id="{E00F54D5-9F11-45F6-9D65-CCDF17DF8A81}"/>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206" name="Text Box 12">
          <a:extLst>
            <a:ext uri="{FF2B5EF4-FFF2-40B4-BE49-F238E27FC236}">
              <a16:creationId xmlns="" xmlns:a16="http://schemas.microsoft.com/office/drawing/2014/main" id="{76CD9E8B-0E0B-44DF-804B-592C969AAD32}"/>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207" name="Text Box 10">
          <a:extLst>
            <a:ext uri="{FF2B5EF4-FFF2-40B4-BE49-F238E27FC236}">
              <a16:creationId xmlns="" xmlns:a16="http://schemas.microsoft.com/office/drawing/2014/main" id="{3E849163-EAC0-4C7C-8DB3-1F6A8BC12283}"/>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208" name="Text Box 11">
          <a:extLst>
            <a:ext uri="{FF2B5EF4-FFF2-40B4-BE49-F238E27FC236}">
              <a16:creationId xmlns="" xmlns:a16="http://schemas.microsoft.com/office/drawing/2014/main" id="{91473EF1-E88E-4E15-9BD4-F11068AEE6DE}"/>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209" name="Text Box 12">
          <a:extLst>
            <a:ext uri="{FF2B5EF4-FFF2-40B4-BE49-F238E27FC236}">
              <a16:creationId xmlns="" xmlns:a16="http://schemas.microsoft.com/office/drawing/2014/main" id="{B0F72020-E2EB-4D88-BF14-85E8F6615DF0}"/>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210" name="Text Box 10">
          <a:extLst>
            <a:ext uri="{FF2B5EF4-FFF2-40B4-BE49-F238E27FC236}">
              <a16:creationId xmlns="" xmlns:a16="http://schemas.microsoft.com/office/drawing/2014/main" id="{87C6E868-AD50-4D54-B484-53E80BD9AA58}"/>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211" name="Text Box 11">
          <a:extLst>
            <a:ext uri="{FF2B5EF4-FFF2-40B4-BE49-F238E27FC236}">
              <a16:creationId xmlns="" xmlns:a16="http://schemas.microsoft.com/office/drawing/2014/main" id="{B2265EBC-D8B0-4E3F-9CF0-52BADC6FEB3C}"/>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212" name="Text Box 12">
          <a:extLst>
            <a:ext uri="{FF2B5EF4-FFF2-40B4-BE49-F238E27FC236}">
              <a16:creationId xmlns="" xmlns:a16="http://schemas.microsoft.com/office/drawing/2014/main" id="{7AD6DC04-D99D-4351-A313-53787060EBCF}"/>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213" name="Text Box 10">
          <a:extLst>
            <a:ext uri="{FF2B5EF4-FFF2-40B4-BE49-F238E27FC236}">
              <a16:creationId xmlns="" xmlns:a16="http://schemas.microsoft.com/office/drawing/2014/main" id="{1FF91FED-403E-44C7-9F36-D4D06D8B8F66}"/>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214" name="Text Box 11">
          <a:extLst>
            <a:ext uri="{FF2B5EF4-FFF2-40B4-BE49-F238E27FC236}">
              <a16:creationId xmlns="" xmlns:a16="http://schemas.microsoft.com/office/drawing/2014/main" id="{D94C6C1A-E5AD-49EA-814A-58EEC131D962}"/>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215" name="Text Box 12">
          <a:extLst>
            <a:ext uri="{FF2B5EF4-FFF2-40B4-BE49-F238E27FC236}">
              <a16:creationId xmlns="" xmlns:a16="http://schemas.microsoft.com/office/drawing/2014/main" id="{F9F98319-3701-41C1-A8B8-7A59E1E921EB}"/>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216" name="Text Box 10">
          <a:extLst>
            <a:ext uri="{FF2B5EF4-FFF2-40B4-BE49-F238E27FC236}">
              <a16:creationId xmlns="" xmlns:a16="http://schemas.microsoft.com/office/drawing/2014/main" id="{9B106735-0F88-492F-B065-C8A2E723859D}"/>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217" name="Text Box 11">
          <a:extLst>
            <a:ext uri="{FF2B5EF4-FFF2-40B4-BE49-F238E27FC236}">
              <a16:creationId xmlns="" xmlns:a16="http://schemas.microsoft.com/office/drawing/2014/main" id="{846AA086-A546-4036-9564-41F1F38BD8A3}"/>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218" name="Text Box 12">
          <a:extLst>
            <a:ext uri="{FF2B5EF4-FFF2-40B4-BE49-F238E27FC236}">
              <a16:creationId xmlns="" xmlns:a16="http://schemas.microsoft.com/office/drawing/2014/main" id="{9D70723C-1EE4-489B-A1F6-1F55E995FEE5}"/>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219" name="Text Box 10">
          <a:extLst>
            <a:ext uri="{FF2B5EF4-FFF2-40B4-BE49-F238E27FC236}">
              <a16:creationId xmlns="" xmlns:a16="http://schemas.microsoft.com/office/drawing/2014/main" id="{DEE88C6C-89B5-4C64-8D63-3E7A69E0FF65}"/>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220" name="Text Box 11">
          <a:extLst>
            <a:ext uri="{FF2B5EF4-FFF2-40B4-BE49-F238E27FC236}">
              <a16:creationId xmlns="" xmlns:a16="http://schemas.microsoft.com/office/drawing/2014/main" id="{6500A862-28B6-4671-88F3-25F0CC5C2649}"/>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221" name="Text Box 12">
          <a:extLst>
            <a:ext uri="{FF2B5EF4-FFF2-40B4-BE49-F238E27FC236}">
              <a16:creationId xmlns="" xmlns:a16="http://schemas.microsoft.com/office/drawing/2014/main" id="{7D9C484A-10AC-4A64-B160-1FBC5B277A8A}"/>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222" name="Text Box 10">
          <a:extLst>
            <a:ext uri="{FF2B5EF4-FFF2-40B4-BE49-F238E27FC236}">
              <a16:creationId xmlns="" xmlns:a16="http://schemas.microsoft.com/office/drawing/2014/main" id="{BAFD9D7B-0001-46EF-9284-6EA5F4C5E739}"/>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223" name="Text Box 11">
          <a:extLst>
            <a:ext uri="{FF2B5EF4-FFF2-40B4-BE49-F238E27FC236}">
              <a16:creationId xmlns="" xmlns:a16="http://schemas.microsoft.com/office/drawing/2014/main" id="{1AC9F8B0-6553-46EF-9678-BC8356491267}"/>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224" name="Text Box 12">
          <a:extLst>
            <a:ext uri="{FF2B5EF4-FFF2-40B4-BE49-F238E27FC236}">
              <a16:creationId xmlns="" xmlns:a16="http://schemas.microsoft.com/office/drawing/2014/main" id="{BCF4D63E-A187-459A-8210-454E6087AAC1}"/>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225" name="Text Box 10">
          <a:extLst>
            <a:ext uri="{FF2B5EF4-FFF2-40B4-BE49-F238E27FC236}">
              <a16:creationId xmlns="" xmlns:a16="http://schemas.microsoft.com/office/drawing/2014/main" id="{A410F673-6614-41DB-8FF0-CBF9FBAD4885}"/>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226" name="Text Box 11">
          <a:extLst>
            <a:ext uri="{FF2B5EF4-FFF2-40B4-BE49-F238E27FC236}">
              <a16:creationId xmlns="" xmlns:a16="http://schemas.microsoft.com/office/drawing/2014/main" id="{8C767F02-501C-4EEB-9CDA-A67090F595E2}"/>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227" name="Text Box 12">
          <a:extLst>
            <a:ext uri="{FF2B5EF4-FFF2-40B4-BE49-F238E27FC236}">
              <a16:creationId xmlns="" xmlns:a16="http://schemas.microsoft.com/office/drawing/2014/main" id="{3035B776-3A5E-457C-86CB-67B9CCBDC570}"/>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228" name="Text Box 10">
          <a:extLst>
            <a:ext uri="{FF2B5EF4-FFF2-40B4-BE49-F238E27FC236}">
              <a16:creationId xmlns="" xmlns:a16="http://schemas.microsoft.com/office/drawing/2014/main" id="{A67639B2-7B1F-4940-920E-3C4E0EC275D1}"/>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229" name="Text Box 11">
          <a:extLst>
            <a:ext uri="{FF2B5EF4-FFF2-40B4-BE49-F238E27FC236}">
              <a16:creationId xmlns="" xmlns:a16="http://schemas.microsoft.com/office/drawing/2014/main" id="{D6610E63-A2A7-40F0-92EF-CB100685E5F2}"/>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230" name="Text Box 12">
          <a:extLst>
            <a:ext uri="{FF2B5EF4-FFF2-40B4-BE49-F238E27FC236}">
              <a16:creationId xmlns="" xmlns:a16="http://schemas.microsoft.com/office/drawing/2014/main" id="{AB3070C5-CA79-4E61-84FB-2DC3E7990D1F}"/>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231" name="Text Box 10">
          <a:extLst>
            <a:ext uri="{FF2B5EF4-FFF2-40B4-BE49-F238E27FC236}">
              <a16:creationId xmlns="" xmlns:a16="http://schemas.microsoft.com/office/drawing/2014/main" id="{9938779A-8926-46DD-BD0E-99D1E048E5FA}"/>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232" name="Text Box 11">
          <a:extLst>
            <a:ext uri="{FF2B5EF4-FFF2-40B4-BE49-F238E27FC236}">
              <a16:creationId xmlns="" xmlns:a16="http://schemas.microsoft.com/office/drawing/2014/main" id="{31827CCF-B890-410E-8FB6-74D90CC5A145}"/>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233" name="Text Box 12">
          <a:extLst>
            <a:ext uri="{FF2B5EF4-FFF2-40B4-BE49-F238E27FC236}">
              <a16:creationId xmlns="" xmlns:a16="http://schemas.microsoft.com/office/drawing/2014/main" id="{DB77A896-A867-41A5-8332-6C50449B4D60}"/>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234" name="Text Box 10">
          <a:extLst>
            <a:ext uri="{FF2B5EF4-FFF2-40B4-BE49-F238E27FC236}">
              <a16:creationId xmlns="" xmlns:a16="http://schemas.microsoft.com/office/drawing/2014/main" id="{05263B94-C655-43E2-AAAC-168D89806CB3}"/>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235" name="Text Box 11">
          <a:extLst>
            <a:ext uri="{FF2B5EF4-FFF2-40B4-BE49-F238E27FC236}">
              <a16:creationId xmlns="" xmlns:a16="http://schemas.microsoft.com/office/drawing/2014/main" id="{18D17100-240B-43D3-B7D7-0EAF5C1897B1}"/>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236" name="Text Box 12">
          <a:extLst>
            <a:ext uri="{FF2B5EF4-FFF2-40B4-BE49-F238E27FC236}">
              <a16:creationId xmlns="" xmlns:a16="http://schemas.microsoft.com/office/drawing/2014/main" id="{F96F1F33-47D8-4F8D-8A90-F389019B38BD}"/>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237" name="Text Box 10">
          <a:extLst>
            <a:ext uri="{FF2B5EF4-FFF2-40B4-BE49-F238E27FC236}">
              <a16:creationId xmlns="" xmlns:a16="http://schemas.microsoft.com/office/drawing/2014/main" id="{0526A674-045A-4DFB-AB42-5B0A712D6D7F}"/>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238" name="Text Box 11">
          <a:extLst>
            <a:ext uri="{FF2B5EF4-FFF2-40B4-BE49-F238E27FC236}">
              <a16:creationId xmlns="" xmlns:a16="http://schemas.microsoft.com/office/drawing/2014/main" id="{302A8D76-A9CE-43C3-8536-BE069FE705FF}"/>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239" name="Text Box 12">
          <a:extLst>
            <a:ext uri="{FF2B5EF4-FFF2-40B4-BE49-F238E27FC236}">
              <a16:creationId xmlns="" xmlns:a16="http://schemas.microsoft.com/office/drawing/2014/main" id="{A5F4FBC1-CFEC-4452-BD07-9020D269B51F}"/>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240" name="Text Box 10">
          <a:extLst>
            <a:ext uri="{FF2B5EF4-FFF2-40B4-BE49-F238E27FC236}">
              <a16:creationId xmlns="" xmlns:a16="http://schemas.microsoft.com/office/drawing/2014/main" id="{80A01DD7-B2D2-4321-B774-269A6FB4E7D1}"/>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241" name="Text Box 11">
          <a:extLst>
            <a:ext uri="{FF2B5EF4-FFF2-40B4-BE49-F238E27FC236}">
              <a16:creationId xmlns="" xmlns:a16="http://schemas.microsoft.com/office/drawing/2014/main" id="{E50ED643-31C4-4603-B2DF-D4B459C87797}"/>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242" name="Text Box 12">
          <a:extLst>
            <a:ext uri="{FF2B5EF4-FFF2-40B4-BE49-F238E27FC236}">
              <a16:creationId xmlns="" xmlns:a16="http://schemas.microsoft.com/office/drawing/2014/main" id="{22D3AAB4-F289-4627-B462-9827FDB8F4C9}"/>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243" name="Text Box 10">
          <a:extLst>
            <a:ext uri="{FF2B5EF4-FFF2-40B4-BE49-F238E27FC236}">
              <a16:creationId xmlns="" xmlns:a16="http://schemas.microsoft.com/office/drawing/2014/main" id="{C85DBE30-1007-4F44-BFC0-4B6443A70F46}"/>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244" name="Text Box 11">
          <a:extLst>
            <a:ext uri="{FF2B5EF4-FFF2-40B4-BE49-F238E27FC236}">
              <a16:creationId xmlns="" xmlns:a16="http://schemas.microsoft.com/office/drawing/2014/main" id="{3299052B-F0AC-4FBB-B444-522D44A585AC}"/>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245" name="Text Box 12">
          <a:extLst>
            <a:ext uri="{FF2B5EF4-FFF2-40B4-BE49-F238E27FC236}">
              <a16:creationId xmlns="" xmlns:a16="http://schemas.microsoft.com/office/drawing/2014/main" id="{192165E0-0C2F-4B6A-A918-98BB95E1223F}"/>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246" name="Text Box 10">
          <a:extLst>
            <a:ext uri="{FF2B5EF4-FFF2-40B4-BE49-F238E27FC236}">
              <a16:creationId xmlns="" xmlns:a16="http://schemas.microsoft.com/office/drawing/2014/main" id="{72BABA9C-4F8F-4CE9-ADB4-BE261D037922}"/>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247" name="Text Box 11">
          <a:extLst>
            <a:ext uri="{FF2B5EF4-FFF2-40B4-BE49-F238E27FC236}">
              <a16:creationId xmlns="" xmlns:a16="http://schemas.microsoft.com/office/drawing/2014/main" id="{7DD0D03D-21AF-4FF9-B546-8D85C9581FA3}"/>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507508</xdr:rowOff>
    </xdr:to>
    <xdr:sp macro="" textlink="">
      <xdr:nvSpPr>
        <xdr:cNvPr id="1248" name="Text Box 12">
          <a:extLst>
            <a:ext uri="{FF2B5EF4-FFF2-40B4-BE49-F238E27FC236}">
              <a16:creationId xmlns="" xmlns:a16="http://schemas.microsoft.com/office/drawing/2014/main" id="{6BF54A79-0290-4CA3-8F7E-5DB2974233BF}"/>
            </a:ext>
          </a:extLst>
        </xdr:cNvPr>
        <xdr:cNvSpPr txBox="1">
          <a:spLocks noChangeArrowheads="1"/>
        </xdr:cNvSpPr>
      </xdr:nvSpPr>
      <xdr:spPr bwMode="auto">
        <a:xfrm>
          <a:off x="4314825" y="16754475"/>
          <a:ext cx="95250" cy="27744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249" name="Text Box 10">
          <a:extLst>
            <a:ext uri="{FF2B5EF4-FFF2-40B4-BE49-F238E27FC236}">
              <a16:creationId xmlns="" xmlns:a16="http://schemas.microsoft.com/office/drawing/2014/main" id="{FD339F41-D2A8-403E-9D25-049815D96518}"/>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250" name="Text Box 11">
          <a:extLst>
            <a:ext uri="{FF2B5EF4-FFF2-40B4-BE49-F238E27FC236}">
              <a16:creationId xmlns="" xmlns:a16="http://schemas.microsoft.com/office/drawing/2014/main" id="{CFA6F253-9379-4AD5-AEE2-3B73B2D24060}"/>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251" name="Text Box 12">
          <a:extLst>
            <a:ext uri="{FF2B5EF4-FFF2-40B4-BE49-F238E27FC236}">
              <a16:creationId xmlns="" xmlns:a16="http://schemas.microsoft.com/office/drawing/2014/main" id="{F6160791-FEDC-4F10-952F-7D00696F32F7}"/>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252" name="Text Box 10">
          <a:extLst>
            <a:ext uri="{FF2B5EF4-FFF2-40B4-BE49-F238E27FC236}">
              <a16:creationId xmlns="" xmlns:a16="http://schemas.microsoft.com/office/drawing/2014/main" id="{E2AD1BE2-02D8-4780-9BC1-203B0AB3CA33}"/>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253" name="Text Box 11">
          <a:extLst>
            <a:ext uri="{FF2B5EF4-FFF2-40B4-BE49-F238E27FC236}">
              <a16:creationId xmlns="" xmlns:a16="http://schemas.microsoft.com/office/drawing/2014/main" id="{B73F6E0E-3DA5-4E04-B21D-9CD4AA80E157}"/>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254" name="Text Box 12">
          <a:extLst>
            <a:ext uri="{FF2B5EF4-FFF2-40B4-BE49-F238E27FC236}">
              <a16:creationId xmlns="" xmlns:a16="http://schemas.microsoft.com/office/drawing/2014/main" id="{F3C1343D-E7E3-4D92-B70A-FB3C67FDCAF8}"/>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255" name="Text Box 10">
          <a:extLst>
            <a:ext uri="{FF2B5EF4-FFF2-40B4-BE49-F238E27FC236}">
              <a16:creationId xmlns="" xmlns:a16="http://schemas.microsoft.com/office/drawing/2014/main" id="{C3642A56-5AD8-4293-B375-D9961EF09FE9}"/>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256" name="Text Box 11">
          <a:extLst>
            <a:ext uri="{FF2B5EF4-FFF2-40B4-BE49-F238E27FC236}">
              <a16:creationId xmlns="" xmlns:a16="http://schemas.microsoft.com/office/drawing/2014/main" id="{D68D26A4-3CFE-482D-AE42-73FBEF37A701}"/>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257" name="Text Box 12">
          <a:extLst>
            <a:ext uri="{FF2B5EF4-FFF2-40B4-BE49-F238E27FC236}">
              <a16:creationId xmlns="" xmlns:a16="http://schemas.microsoft.com/office/drawing/2014/main" id="{E015CC20-E262-41E9-807F-E818A27A3BF1}"/>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258" name="Text Box 10">
          <a:extLst>
            <a:ext uri="{FF2B5EF4-FFF2-40B4-BE49-F238E27FC236}">
              <a16:creationId xmlns="" xmlns:a16="http://schemas.microsoft.com/office/drawing/2014/main" id="{DCFD254E-A709-4F78-993B-88457FC460FF}"/>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259" name="Text Box 11">
          <a:extLst>
            <a:ext uri="{FF2B5EF4-FFF2-40B4-BE49-F238E27FC236}">
              <a16:creationId xmlns="" xmlns:a16="http://schemas.microsoft.com/office/drawing/2014/main" id="{74588A8B-9CF5-4589-BC29-D9FE57498209}"/>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260" name="Text Box 12">
          <a:extLst>
            <a:ext uri="{FF2B5EF4-FFF2-40B4-BE49-F238E27FC236}">
              <a16:creationId xmlns="" xmlns:a16="http://schemas.microsoft.com/office/drawing/2014/main" id="{26783B42-76A4-4CFC-98A0-E00CB134FC28}"/>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261" name="Text Box 10">
          <a:extLst>
            <a:ext uri="{FF2B5EF4-FFF2-40B4-BE49-F238E27FC236}">
              <a16:creationId xmlns="" xmlns:a16="http://schemas.microsoft.com/office/drawing/2014/main" id="{BCAE0949-7FAE-48C5-8FB6-C9614812F891}"/>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262" name="Text Box 11">
          <a:extLst>
            <a:ext uri="{FF2B5EF4-FFF2-40B4-BE49-F238E27FC236}">
              <a16:creationId xmlns="" xmlns:a16="http://schemas.microsoft.com/office/drawing/2014/main" id="{D729794F-7281-4953-8A17-6C3C9C9CA0D2}"/>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263" name="Text Box 12">
          <a:extLst>
            <a:ext uri="{FF2B5EF4-FFF2-40B4-BE49-F238E27FC236}">
              <a16:creationId xmlns="" xmlns:a16="http://schemas.microsoft.com/office/drawing/2014/main" id="{A04D2419-E429-4D9E-B509-D413D3902BEC}"/>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264" name="Text Box 10">
          <a:extLst>
            <a:ext uri="{FF2B5EF4-FFF2-40B4-BE49-F238E27FC236}">
              <a16:creationId xmlns="" xmlns:a16="http://schemas.microsoft.com/office/drawing/2014/main" id="{62E90083-2ECF-4643-93ED-BA275D1A5DEF}"/>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265" name="Text Box 11">
          <a:extLst>
            <a:ext uri="{FF2B5EF4-FFF2-40B4-BE49-F238E27FC236}">
              <a16:creationId xmlns="" xmlns:a16="http://schemas.microsoft.com/office/drawing/2014/main" id="{247BA352-A462-447F-BE2C-A4C1CA2D1220}"/>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266" name="Text Box 12">
          <a:extLst>
            <a:ext uri="{FF2B5EF4-FFF2-40B4-BE49-F238E27FC236}">
              <a16:creationId xmlns="" xmlns:a16="http://schemas.microsoft.com/office/drawing/2014/main" id="{BC038931-C17E-42B0-8BBD-514F951297AC}"/>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267" name="Text Box 10">
          <a:extLst>
            <a:ext uri="{FF2B5EF4-FFF2-40B4-BE49-F238E27FC236}">
              <a16:creationId xmlns="" xmlns:a16="http://schemas.microsoft.com/office/drawing/2014/main" id="{3F5FA1FA-9CD2-49CB-97BC-9DB304A2ED92}"/>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268" name="Text Box 11">
          <a:extLst>
            <a:ext uri="{FF2B5EF4-FFF2-40B4-BE49-F238E27FC236}">
              <a16:creationId xmlns="" xmlns:a16="http://schemas.microsoft.com/office/drawing/2014/main" id="{C4D7F80D-95D9-454A-AF3E-3EA3C220895C}"/>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269" name="Text Box 12">
          <a:extLst>
            <a:ext uri="{FF2B5EF4-FFF2-40B4-BE49-F238E27FC236}">
              <a16:creationId xmlns="" xmlns:a16="http://schemas.microsoft.com/office/drawing/2014/main" id="{BC5B4629-8C6C-4803-9D4F-6B74284F28DA}"/>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270" name="Text Box 10">
          <a:extLst>
            <a:ext uri="{FF2B5EF4-FFF2-40B4-BE49-F238E27FC236}">
              <a16:creationId xmlns="" xmlns:a16="http://schemas.microsoft.com/office/drawing/2014/main" id="{E6671808-A18E-4225-85C0-3952973D7EB3}"/>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271" name="Text Box 11">
          <a:extLst>
            <a:ext uri="{FF2B5EF4-FFF2-40B4-BE49-F238E27FC236}">
              <a16:creationId xmlns="" xmlns:a16="http://schemas.microsoft.com/office/drawing/2014/main" id="{A37D78F7-279A-478D-BFE4-801647AA766D}"/>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272" name="Text Box 12">
          <a:extLst>
            <a:ext uri="{FF2B5EF4-FFF2-40B4-BE49-F238E27FC236}">
              <a16:creationId xmlns="" xmlns:a16="http://schemas.microsoft.com/office/drawing/2014/main" id="{88DEBBDC-2709-4C01-95DF-DBB75F0A8866}"/>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273" name="Text Box 10">
          <a:extLst>
            <a:ext uri="{FF2B5EF4-FFF2-40B4-BE49-F238E27FC236}">
              <a16:creationId xmlns="" xmlns:a16="http://schemas.microsoft.com/office/drawing/2014/main" id="{C955A517-DE73-43B5-8347-47ED5939DCC5}"/>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274" name="Text Box 11">
          <a:extLst>
            <a:ext uri="{FF2B5EF4-FFF2-40B4-BE49-F238E27FC236}">
              <a16:creationId xmlns="" xmlns:a16="http://schemas.microsoft.com/office/drawing/2014/main" id="{2A0F4720-75C0-4CB8-9153-1DB1B283EBDA}"/>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275" name="Text Box 12">
          <a:extLst>
            <a:ext uri="{FF2B5EF4-FFF2-40B4-BE49-F238E27FC236}">
              <a16:creationId xmlns="" xmlns:a16="http://schemas.microsoft.com/office/drawing/2014/main" id="{9F50AF86-A387-49F4-9FD1-436F98E4F199}"/>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276" name="Text Box 10">
          <a:extLst>
            <a:ext uri="{FF2B5EF4-FFF2-40B4-BE49-F238E27FC236}">
              <a16:creationId xmlns="" xmlns:a16="http://schemas.microsoft.com/office/drawing/2014/main" id="{8D277B6E-D198-4DF4-AE05-E8BECF6AE55A}"/>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277" name="Text Box 11">
          <a:extLst>
            <a:ext uri="{FF2B5EF4-FFF2-40B4-BE49-F238E27FC236}">
              <a16:creationId xmlns="" xmlns:a16="http://schemas.microsoft.com/office/drawing/2014/main" id="{5E911E1E-CF5D-4A74-9CB1-AF776FD32820}"/>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278" name="Text Box 12">
          <a:extLst>
            <a:ext uri="{FF2B5EF4-FFF2-40B4-BE49-F238E27FC236}">
              <a16:creationId xmlns="" xmlns:a16="http://schemas.microsoft.com/office/drawing/2014/main" id="{B5696001-AE0C-4AD3-A5D2-2CD84CD7E5E7}"/>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279" name="Text Box 10">
          <a:extLst>
            <a:ext uri="{FF2B5EF4-FFF2-40B4-BE49-F238E27FC236}">
              <a16:creationId xmlns="" xmlns:a16="http://schemas.microsoft.com/office/drawing/2014/main" id="{F6C88F98-413B-46C4-B941-204F3B2F1B07}"/>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280" name="Text Box 11">
          <a:extLst>
            <a:ext uri="{FF2B5EF4-FFF2-40B4-BE49-F238E27FC236}">
              <a16:creationId xmlns="" xmlns:a16="http://schemas.microsoft.com/office/drawing/2014/main" id="{20FCB3D5-1E50-42E8-B69B-77F8FA1D7555}"/>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281" name="Text Box 12">
          <a:extLst>
            <a:ext uri="{FF2B5EF4-FFF2-40B4-BE49-F238E27FC236}">
              <a16:creationId xmlns="" xmlns:a16="http://schemas.microsoft.com/office/drawing/2014/main" id="{D1AAC0DE-3C6D-44AC-A77D-D4AAA14A5A76}"/>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282" name="Text Box 10">
          <a:extLst>
            <a:ext uri="{FF2B5EF4-FFF2-40B4-BE49-F238E27FC236}">
              <a16:creationId xmlns="" xmlns:a16="http://schemas.microsoft.com/office/drawing/2014/main" id="{8F27114C-5DE6-4C6F-A603-8F4A8C62CA35}"/>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283" name="Text Box 11">
          <a:extLst>
            <a:ext uri="{FF2B5EF4-FFF2-40B4-BE49-F238E27FC236}">
              <a16:creationId xmlns="" xmlns:a16="http://schemas.microsoft.com/office/drawing/2014/main" id="{4ED9F651-6114-4B0F-B4BE-DDCD69926136}"/>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284" name="Text Box 12">
          <a:extLst>
            <a:ext uri="{FF2B5EF4-FFF2-40B4-BE49-F238E27FC236}">
              <a16:creationId xmlns="" xmlns:a16="http://schemas.microsoft.com/office/drawing/2014/main" id="{0B3506B2-52AA-4D1E-998D-49FC46D50069}"/>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285" name="Text Box 10">
          <a:extLst>
            <a:ext uri="{FF2B5EF4-FFF2-40B4-BE49-F238E27FC236}">
              <a16:creationId xmlns="" xmlns:a16="http://schemas.microsoft.com/office/drawing/2014/main" id="{750C6938-4AF8-4D9F-B95A-E9DD9BB44A2A}"/>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286" name="Text Box 11">
          <a:extLst>
            <a:ext uri="{FF2B5EF4-FFF2-40B4-BE49-F238E27FC236}">
              <a16:creationId xmlns="" xmlns:a16="http://schemas.microsoft.com/office/drawing/2014/main" id="{DB73A6D7-D13F-4A3C-87DD-2694CFFC19D5}"/>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287" name="Text Box 12">
          <a:extLst>
            <a:ext uri="{FF2B5EF4-FFF2-40B4-BE49-F238E27FC236}">
              <a16:creationId xmlns="" xmlns:a16="http://schemas.microsoft.com/office/drawing/2014/main" id="{37983332-1A2F-490A-A2D6-076FA0F1BC0F}"/>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288" name="Text Box 10">
          <a:extLst>
            <a:ext uri="{FF2B5EF4-FFF2-40B4-BE49-F238E27FC236}">
              <a16:creationId xmlns="" xmlns:a16="http://schemas.microsoft.com/office/drawing/2014/main" id="{62610599-7D15-46AB-8380-050F448297C7}"/>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289" name="Text Box 11">
          <a:extLst>
            <a:ext uri="{FF2B5EF4-FFF2-40B4-BE49-F238E27FC236}">
              <a16:creationId xmlns="" xmlns:a16="http://schemas.microsoft.com/office/drawing/2014/main" id="{433B6632-0329-49BA-9A2B-AA20472687D0}"/>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290" name="Text Box 12">
          <a:extLst>
            <a:ext uri="{FF2B5EF4-FFF2-40B4-BE49-F238E27FC236}">
              <a16:creationId xmlns="" xmlns:a16="http://schemas.microsoft.com/office/drawing/2014/main" id="{ED5B79A0-7794-46C9-9794-837ED17845C3}"/>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291" name="Text Box 10">
          <a:extLst>
            <a:ext uri="{FF2B5EF4-FFF2-40B4-BE49-F238E27FC236}">
              <a16:creationId xmlns="" xmlns:a16="http://schemas.microsoft.com/office/drawing/2014/main" id="{CC9BB10B-B5AB-4AA0-A83B-4BA3BCCD1A1E}"/>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292" name="Text Box 11">
          <a:extLst>
            <a:ext uri="{FF2B5EF4-FFF2-40B4-BE49-F238E27FC236}">
              <a16:creationId xmlns="" xmlns:a16="http://schemas.microsoft.com/office/drawing/2014/main" id="{1471427B-F3DC-4797-9657-71F07B30256D}"/>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293" name="Text Box 12">
          <a:extLst>
            <a:ext uri="{FF2B5EF4-FFF2-40B4-BE49-F238E27FC236}">
              <a16:creationId xmlns="" xmlns:a16="http://schemas.microsoft.com/office/drawing/2014/main" id="{BC659B6F-8E6E-4E75-B1B0-4048F9DED138}"/>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294" name="Text Box 10">
          <a:extLst>
            <a:ext uri="{FF2B5EF4-FFF2-40B4-BE49-F238E27FC236}">
              <a16:creationId xmlns="" xmlns:a16="http://schemas.microsoft.com/office/drawing/2014/main" id="{BEFE69CD-AA35-4331-85F6-B7D172DF51FC}"/>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295" name="Text Box 11">
          <a:extLst>
            <a:ext uri="{FF2B5EF4-FFF2-40B4-BE49-F238E27FC236}">
              <a16:creationId xmlns="" xmlns:a16="http://schemas.microsoft.com/office/drawing/2014/main" id="{DA0DAA30-27C2-4769-BE52-1E802AE486BE}"/>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296" name="Text Box 12">
          <a:extLst>
            <a:ext uri="{FF2B5EF4-FFF2-40B4-BE49-F238E27FC236}">
              <a16:creationId xmlns="" xmlns:a16="http://schemas.microsoft.com/office/drawing/2014/main" id="{BA787BC5-36C3-4F3B-BF3B-91CE974D8B0B}"/>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297" name="Text Box 10">
          <a:extLst>
            <a:ext uri="{FF2B5EF4-FFF2-40B4-BE49-F238E27FC236}">
              <a16:creationId xmlns="" xmlns:a16="http://schemas.microsoft.com/office/drawing/2014/main" id="{53D9D43F-E255-4BF2-AA77-66F8071DC0DE}"/>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298" name="Text Box 11">
          <a:extLst>
            <a:ext uri="{FF2B5EF4-FFF2-40B4-BE49-F238E27FC236}">
              <a16:creationId xmlns="" xmlns:a16="http://schemas.microsoft.com/office/drawing/2014/main" id="{EB4AC5D7-00D8-4E97-A64B-993C3D7420CF}"/>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299" name="Text Box 12">
          <a:extLst>
            <a:ext uri="{FF2B5EF4-FFF2-40B4-BE49-F238E27FC236}">
              <a16:creationId xmlns="" xmlns:a16="http://schemas.microsoft.com/office/drawing/2014/main" id="{DE494C4D-8E4C-4AE6-BDE2-4FFA14DCC315}"/>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300" name="Text Box 10">
          <a:extLst>
            <a:ext uri="{FF2B5EF4-FFF2-40B4-BE49-F238E27FC236}">
              <a16:creationId xmlns="" xmlns:a16="http://schemas.microsoft.com/office/drawing/2014/main" id="{FA5EA3FE-A94D-4DE2-93E6-60D557F585BB}"/>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301" name="Text Box 11">
          <a:extLst>
            <a:ext uri="{FF2B5EF4-FFF2-40B4-BE49-F238E27FC236}">
              <a16:creationId xmlns="" xmlns:a16="http://schemas.microsoft.com/office/drawing/2014/main" id="{699864F6-7465-4843-9DC4-DDAB4E876A93}"/>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302" name="Text Box 12">
          <a:extLst>
            <a:ext uri="{FF2B5EF4-FFF2-40B4-BE49-F238E27FC236}">
              <a16:creationId xmlns="" xmlns:a16="http://schemas.microsoft.com/office/drawing/2014/main" id="{15279B89-C64B-41E2-A71F-FD35F7F8B5D2}"/>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303" name="Text Box 10">
          <a:extLst>
            <a:ext uri="{FF2B5EF4-FFF2-40B4-BE49-F238E27FC236}">
              <a16:creationId xmlns="" xmlns:a16="http://schemas.microsoft.com/office/drawing/2014/main" id="{C7564281-3FAE-4457-B4F3-3BE04B39D426}"/>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304" name="Text Box 11">
          <a:extLst>
            <a:ext uri="{FF2B5EF4-FFF2-40B4-BE49-F238E27FC236}">
              <a16:creationId xmlns="" xmlns:a16="http://schemas.microsoft.com/office/drawing/2014/main" id="{50878466-0946-4CBA-AE40-3A65DD37221C}"/>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305" name="Text Box 12">
          <a:extLst>
            <a:ext uri="{FF2B5EF4-FFF2-40B4-BE49-F238E27FC236}">
              <a16:creationId xmlns="" xmlns:a16="http://schemas.microsoft.com/office/drawing/2014/main" id="{3C6E038C-A36C-4037-A2A8-0E8E1CE41122}"/>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306" name="Text Box 10">
          <a:extLst>
            <a:ext uri="{FF2B5EF4-FFF2-40B4-BE49-F238E27FC236}">
              <a16:creationId xmlns="" xmlns:a16="http://schemas.microsoft.com/office/drawing/2014/main" id="{60FCDFC0-3651-48B4-84ED-6173BE4ACACB}"/>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307" name="Text Box 11">
          <a:extLst>
            <a:ext uri="{FF2B5EF4-FFF2-40B4-BE49-F238E27FC236}">
              <a16:creationId xmlns="" xmlns:a16="http://schemas.microsoft.com/office/drawing/2014/main" id="{A28592C9-7E3A-4251-8AD0-E9482936E29C}"/>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308" name="Text Box 12">
          <a:extLst>
            <a:ext uri="{FF2B5EF4-FFF2-40B4-BE49-F238E27FC236}">
              <a16:creationId xmlns="" xmlns:a16="http://schemas.microsoft.com/office/drawing/2014/main" id="{93F9CCD5-099B-490A-B125-5303E19AE282}"/>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309" name="Text Box 10">
          <a:extLst>
            <a:ext uri="{FF2B5EF4-FFF2-40B4-BE49-F238E27FC236}">
              <a16:creationId xmlns="" xmlns:a16="http://schemas.microsoft.com/office/drawing/2014/main" id="{402336FD-0103-4F4B-ADC4-801C0A987C6C}"/>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310" name="Text Box 11">
          <a:extLst>
            <a:ext uri="{FF2B5EF4-FFF2-40B4-BE49-F238E27FC236}">
              <a16:creationId xmlns="" xmlns:a16="http://schemas.microsoft.com/office/drawing/2014/main" id="{1474D93C-E3CC-499B-BCCD-3234A417C0F8}"/>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311" name="Text Box 12">
          <a:extLst>
            <a:ext uri="{FF2B5EF4-FFF2-40B4-BE49-F238E27FC236}">
              <a16:creationId xmlns="" xmlns:a16="http://schemas.microsoft.com/office/drawing/2014/main" id="{C564A738-1FFE-42BB-A7D1-D3CBD2FFDD79}"/>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312" name="Text Box 10">
          <a:extLst>
            <a:ext uri="{FF2B5EF4-FFF2-40B4-BE49-F238E27FC236}">
              <a16:creationId xmlns="" xmlns:a16="http://schemas.microsoft.com/office/drawing/2014/main" id="{17DFDD75-596E-4C4E-8C49-B8D325D12A58}"/>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313" name="Text Box 11">
          <a:extLst>
            <a:ext uri="{FF2B5EF4-FFF2-40B4-BE49-F238E27FC236}">
              <a16:creationId xmlns="" xmlns:a16="http://schemas.microsoft.com/office/drawing/2014/main" id="{CEF31653-9CE4-465C-AF84-92E3419187D4}"/>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314" name="Text Box 12">
          <a:extLst>
            <a:ext uri="{FF2B5EF4-FFF2-40B4-BE49-F238E27FC236}">
              <a16:creationId xmlns="" xmlns:a16="http://schemas.microsoft.com/office/drawing/2014/main" id="{AB39DF79-235E-4AB6-B9B7-B29E3F948215}"/>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315" name="Text Box 10">
          <a:extLst>
            <a:ext uri="{FF2B5EF4-FFF2-40B4-BE49-F238E27FC236}">
              <a16:creationId xmlns="" xmlns:a16="http://schemas.microsoft.com/office/drawing/2014/main" id="{1369800B-6771-4B95-8D83-1F014F4F2B19}"/>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316" name="Text Box 11">
          <a:extLst>
            <a:ext uri="{FF2B5EF4-FFF2-40B4-BE49-F238E27FC236}">
              <a16:creationId xmlns="" xmlns:a16="http://schemas.microsoft.com/office/drawing/2014/main" id="{B1F63CB6-8B74-45E0-8EE5-D13EAA9B49D3}"/>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317" name="Text Box 12">
          <a:extLst>
            <a:ext uri="{FF2B5EF4-FFF2-40B4-BE49-F238E27FC236}">
              <a16:creationId xmlns="" xmlns:a16="http://schemas.microsoft.com/office/drawing/2014/main" id="{B0C618EF-9C33-4828-90E2-541AE2633B04}"/>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318" name="Text Box 10">
          <a:extLst>
            <a:ext uri="{FF2B5EF4-FFF2-40B4-BE49-F238E27FC236}">
              <a16:creationId xmlns="" xmlns:a16="http://schemas.microsoft.com/office/drawing/2014/main" id="{AAA33DA9-5B8C-469A-A76A-E5290BE311FE}"/>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319" name="Text Box 11">
          <a:extLst>
            <a:ext uri="{FF2B5EF4-FFF2-40B4-BE49-F238E27FC236}">
              <a16:creationId xmlns="" xmlns:a16="http://schemas.microsoft.com/office/drawing/2014/main" id="{A4C57664-0D18-4446-B233-0A646172DB7D}"/>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320" name="Text Box 12">
          <a:extLst>
            <a:ext uri="{FF2B5EF4-FFF2-40B4-BE49-F238E27FC236}">
              <a16:creationId xmlns="" xmlns:a16="http://schemas.microsoft.com/office/drawing/2014/main" id="{D115A6F1-C0E4-4D82-B693-C40B6D91AEF4}"/>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321" name="Text Box 10">
          <a:extLst>
            <a:ext uri="{FF2B5EF4-FFF2-40B4-BE49-F238E27FC236}">
              <a16:creationId xmlns="" xmlns:a16="http://schemas.microsoft.com/office/drawing/2014/main" id="{088D16D7-D1C4-4240-8FBA-9C358208C59A}"/>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322" name="Text Box 11">
          <a:extLst>
            <a:ext uri="{FF2B5EF4-FFF2-40B4-BE49-F238E27FC236}">
              <a16:creationId xmlns="" xmlns:a16="http://schemas.microsoft.com/office/drawing/2014/main" id="{36418996-391B-4EB1-80A6-EDD4E685F593}"/>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323" name="Text Box 12">
          <a:extLst>
            <a:ext uri="{FF2B5EF4-FFF2-40B4-BE49-F238E27FC236}">
              <a16:creationId xmlns="" xmlns:a16="http://schemas.microsoft.com/office/drawing/2014/main" id="{573C22DC-71BA-490C-BD04-B8805109B013}"/>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324" name="Text Box 10">
          <a:extLst>
            <a:ext uri="{FF2B5EF4-FFF2-40B4-BE49-F238E27FC236}">
              <a16:creationId xmlns="" xmlns:a16="http://schemas.microsoft.com/office/drawing/2014/main" id="{048D5A94-6EDE-4485-8E71-C50DC4F04F50}"/>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325" name="Text Box 11">
          <a:extLst>
            <a:ext uri="{FF2B5EF4-FFF2-40B4-BE49-F238E27FC236}">
              <a16:creationId xmlns="" xmlns:a16="http://schemas.microsoft.com/office/drawing/2014/main" id="{0F1F7B4C-D69E-42E9-8C4D-97674499A958}"/>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326" name="Text Box 12">
          <a:extLst>
            <a:ext uri="{FF2B5EF4-FFF2-40B4-BE49-F238E27FC236}">
              <a16:creationId xmlns="" xmlns:a16="http://schemas.microsoft.com/office/drawing/2014/main" id="{1A6950E2-4E54-4FA8-9421-126469707ACD}"/>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327" name="Text Box 10">
          <a:extLst>
            <a:ext uri="{FF2B5EF4-FFF2-40B4-BE49-F238E27FC236}">
              <a16:creationId xmlns="" xmlns:a16="http://schemas.microsoft.com/office/drawing/2014/main" id="{1A8230D1-057F-442F-AB5C-51309876DAE3}"/>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328" name="Text Box 11">
          <a:extLst>
            <a:ext uri="{FF2B5EF4-FFF2-40B4-BE49-F238E27FC236}">
              <a16:creationId xmlns="" xmlns:a16="http://schemas.microsoft.com/office/drawing/2014/main" id="{2B129A2A-0BB3-4060-974E-B200CDDC9A94}"/>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329" name="Text Box 12">
          <a:extLst>
            <a:ext uri="{FF2B5EF4-FFF2-40B4-BE49-F238E27FC236}">
              <a16:creationId xmlns="" xmlns:a16="http://schemas.microsoft.com/office/drawing/2014/main" id="{CDEC7CBA-65E9-4315-BD78-306CA14F4B44}"/>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330" name="Text Box 10">
          <a:extLst>
            <a:ext uri="{FF2B5EF4-FFF2-40B4-BE49-F238E27FC236}">
              <a16:creationId xmlns="" xmlns:a16="http://schemas.microsoft.com/office/drawing/2014/main" id="{36B3C6CF-33E5-409F-85A6-90A242D0D939}"/>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331" name="Text Box 11">
          <a:extLst>
            <a:ext uri="{FF2B5EF4-FFF2-40B4-BE49-F238E27FC236}">
              <a16:creationId xmlns="" xmlns:a16="http://schemas.microsoft.com/office/drawing/2014/main" id="{565D0722-F2E3-4577-A162-2624D8228EA6}"/>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332" name="Text Box 12">
          <a:extLst>
            <a:ext uri="{FF2B5EF4-FFF2-40B4-BE49-F238E27FC236}">
              <a16:creationId xmlns="" xmlns:a16="http://schemas.microsoft.com/office/drawing/2014/main" id="{4FB0E2E6-7D17-4F34-86FB-E17D1BBEFD69}"/>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333" name="Text Box 10">
          <a:extLst>
            <a:ext uri="{FF2B5EF4-FFF2-40B4-BE49-F238E27FC236}">
              <a16:creationId xmlns="" xmlns:a16="http://schemas.microsoft.com/office/drawing/2014/main" id="{2841E3D2-B2D6-4348-BEFB-B69DE9D0325F}"/>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334" name="Text Box 11">
          <a:extLst>
            <a:ext uri="{FF2B5EF4-FFF2-40B4-BE49-F238E27FC236}">
              <a16:creationId xmlns="" xmlns:a16="http://schemas.microsoft.com/office/drawing/2014/main" id="{E26F0A46-3C68-4ED6-BF2B-5EA52AA0943B}"/>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335" name="Text Box 12">
          <a:extLst>
            <a:ext uri="{FF2B5EF4-FFF2-40B4-BE49-F238E27FC236}">
              <a16:creationId xmlns="" xmlns:a16="http://schemas.microsoft.com/office/drawing/2014/main" id="{C3BC022F-7F36-4D95-986F-8CEAF8F46092}"/>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336" name="Text Box 10">
          <a:extLst>
            <a:ext uri="{FF2B5EF4-FFF2-40B4-BE49-F238E27FC236}">
              <a16:creationId xmlns="" xmlns:a16="http://schemas.microsoft.com/office/drawing/2014/main" id="{313F6FFF-B6E1-4F59-8742-491E0F5E7F42}"/>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337" name="Text Box 11">
          <a:extLst>
            <a:ext uri="{FF2B5EF4-FFF2-40B4-BE49-F238E27FC236}">
              <a16:creationId xmlns="" xmlns:a16="http://schemas.microsoft.com/office/drawing/2014/main" id="{DF7B41DC-3978-4484-93DA-8605683C0481}"/>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338" name="Text Box 12">
          <a:extLst>
            <a:ext uri="{FF2B5EF4-FFF2-40B4-BE49-F238E27FC236}">
              <a16:creationId xmlns="" xmlns:a16="http://schemas.microsoft.com/office/drawing/2014/main" id="{D6E51FBA-F85D-4995-9486-C74A40D3DA2F}"/>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339" name="Text Box 10">
          <a:extLst>
            <a:ext uri="{FF2B5EF4-FFF2-40B4-BE49-F238E27FC236}">
              <a16:creationId xmlns="" xmlns:a16="http://schemas.microsoft.com/office/drawing/2014/main" id="{3ED5601E-E018-4859-A33B-88DAE6D6D87D}"/>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340" name="Text Box 11">
          <a:extLst>
            <a:ext uri="{FF2B5EF4-FFF2-40B4-BE49-F238E27FC236}">
              <a16:creationId xmlns="" xmlns:a16="http://schemas.microsoft.com/office/drawing/2014/main" id="{7BB7C0C5-F094-417A-9C26-6D00956143B3}"/>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341" name="Text Box 12">
          <a:extLst>
            <a:ext uri="{FF2B5EF4-FFF2-40B4-BE49-F238E27FC236}">
              <a16:creationId xmlns="" xmlns:a16="http://schemas.microsoft.com/office/drawing/2014/main" id="{4C98B76C-74B3-4197-A3F9-C60896370D43}"/>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342" name="Text Box 10">
          <a:extLst>
            <a:ext uri="{FF2B5EF4-FFF2-40B4-BE49-F238E27FC236}">
              <a16:creationId xmlns="" xmlns:a16="http://schemas.microsoft.com/office/drawing/2014/main" id="{D3AD6A6D-DE7D-4E46-B0F0-D784CA2A0D23}"/>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343" name="Text Box 11">
          <a:extLst>
            <a:ext uri="{FF2B5EF4-FFF2-40B4-BE49-F238E27FC236}">
              <a16:creationId xmlns="" xmlns:a16="http://schemas.microsoft.com/office/drawing/2014/main" id="{80F31942-C241-4DF1-8C6B-5B6083812FB0}"/>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344" name="Text Box 12">
          <a:extLst>
            <a:ext uri="{FF2B5EF4-FFF2-40B4-BE49-F238E27FC236}">
              <a16:creationId xmlns="" xmlns:a16="http://schemas.microsoft.com/office/drawing/2014/main" id="{F65C96B6-628E-42F9-A61D-E613FBB418EE}"/>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345" name="Text Box 10">
          <a:extLst>
            <a:ext uri="{FF2B5EF4-FFF2-40B4-BE49-F238E27FC236}">
              <a16:creationId xmlns="" xmlns:a16="http://schemas.microsoft.com/office/drawing/2014/main" id="{3132FAF2-96CE-4BF5-B41B-7FB18F7C4D1E}"/>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346" name="Text Box 11">
          <a:extLst>
            <a:ext uri="{FF2B5EF4-FFF2-40B4-BE49-F238E27FC236}">
              <a16:creationId xmlns="" xmlns:a16="http://schemas.microsoft.com/office/drawing/2014/main" id="{00F78B14-925F-419E-A9E3-6C25B93F71F3}"/>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347" name="Text Box 12">
          <a:extLst>
            <a:ext uri="{FF2B5EF4-FFF2-40B4-BE49-F238E27FC236}">
              <a16:creationId xmlns="" xmlns:a16="http://schemas.microsoft.com/office/drawing/2014/main" id="{A8F0C1BC-1781-4545-9E16-CE1248D3638E}"/>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348" name="Text Box 10">
          <a:extLst>
            <a:ext uri="{FF2B5EF4-FFF2-40B4-BE49-F238E27FC236}">
              <a16:creationId xmlns="" xmlns:a16="http://schemas.microsoft.com/office/drawing/2014/main" id="{0C1021DE-8F76-482F-84BF-571215CC0ED6}"/>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349" name="Text Box 11">
          <a:extLst>
            <a:ext uri="{FF2B5EF4-FFF2-40B4-BE49-F238E27FC236}">
              <a16:creationId xmlns="" xmlns:a16="http://schemas.microsoft.com/office/drawing/2014/main" id="{BF873057-CF1B-4918-8859-4A6DA51647BB}"/>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350" name="Text Box 12">
          <a:extLst>
            <a:ext uri="{FF2B5EF4-FFF2-40B4-BE49-F238E27FC236}">
              <a16:creationId xmlns="" xmlns:a16="http://schemas.microsoft.com/office/drawing/2014/main" id="{627CF3F0-DE69-4B42-B51B-8DB7BF641404}"/>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351" name="Text Box 10">
          <a:extLst>
            <a:ext uri="{FF2B5EF4-FFF2-40B4-BE49-F238E27FC236}">
              <a16:creationId xmlns="" xmlns:a16="http://schemas.microsoft.com/office/drawing/2014/main" id="{E86F0A35-A632-4388-9E73-01C69D98D7EC}"/>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352" name="Text Box 11">
          <a:extLst>
            <a:ext uri="{FF2B5EF4-FFF2-40B4-BE49-F238E27FC236}">
              <a16:creationId xmlns="" xmlns:a16="http://schemas.microsoft.com/office/drawing/2014/main" id="{8D32C824-355D-415D-9B47-3D3BAEF7165D}"/>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353" name="Text Box 12">
          <a:extLst>
            <a:ext uri="{FF2B5EF4-FFF2-40B4-BE49-F238E27FC236}">
              <a16:creationId xmlns="" xmlns:a16="http://schemas.microsoft.com/office/drawing/2014/main" id="{FBABD420-41A2-4352-870F-BBF1B44DE9F6}"/>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354" name="Text Box 10">
          <a:extLst>
            <a:ext uri="{FF2B5EF4-FFF2-40B4-BE49-F238E27FC236}">
              <a16:creationId xmlns="" xmlns:a16="http://schemas.microsoft.com/office/drawing/2014/main" id="{80373828-699D-4B35-85C2-82094FA7F6A4}"/>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355" name="Text Box 11">
          <a:extLst>
            <a:ext uri="{FF2B5EF4-FFF2-40B4-BE49-F238E27FC236}">
              <a16:creationId xmlns="" xmlns:a16="http://schemas.microsoft.com/office/drawing/2014/main" id="{112A9C5E-191C-4BFE-8A96-14560117C8B4}"/>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356" name="Text Box 12">
          <a:extLst>
            <a:ext uri="{FF2B5EF4-FFF2-40B4-BE49-F238E27FC236}">
              <a16:creationId xmlns="" xmlns:a16="http://schemas.microsoft.com/office/drawing/2014/main" id="{D65A9B6D-7CA2-44E7-B464-04F76EBE931D}"/>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357" name="Text Box 10">
          <a:extLst>
            <a:ext uri="{FF2B5EF4-FFF2-40B4-BE49-F238E27FC236}">
              <a16:creationId xmlns="" xmlns:a16="http://schemas.microsoft.com/office/drawing/2014/main" id="{96F370C8-ED6E-47BF-AD83-08DE9019072F}"/>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358" name="Text Box 11">
          <a:extLst>
            <a:ext uri="{FF2B5EF4-FFF2-40B4-BE49-F238E27FC236}">
              <a16:creationId xmlns="" xmlns:a16="http://schemas.microsoft.com/office/drawing/2014/main" id="{38BD553E-9A27-4717-91E8-4B20102610B1}"/>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359" name="Text Box 12">
          <a:extLst>
            <a:ext uri="{FF2B5EF4-FFF2-40B4-BE49-F238E27FC236}">
              <a16:creationId xmlns="" xmlns:a16="http://schemas.microsoft.com/office/drawing/2014/main" id="{31B3AA93-BEAF-4627-83E5-0D883E86221B}"/>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360" name="Text Box 10">
          <a:extLst>
            <a:ext uri="{FF2B5EF4-FFF2-40B4-BE49-F238E27FC236}">
              <a16:creationId xmlns="" xmlns:a16="http://schemas.microsoft.com/office/drawing/2014/main" id="{51B7B443-48B8-4FC9-A637-97D54396787D}"/>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361" name="Text Box 11">
          <a:extLst>
            <a:ext uri="{FF2B5EF4-FFF2-40B4-BE49-F238E27FC236}">
              <a16:creationId xmlns="" xmlns:a16="http://schemas.microsoft.com/office/drawing/2014/main" id="{683C995A-DD3F-4B37-80DE-27B1E1AD73E8}"/>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362" name="Text Box 12">
          <a:extLst>
            <a:ext uri="{FF2B5EF4-FFF2-40B4-BE49-F238E27FC236}">
              <a16:creationId xmlns="" xmlns:a16="http://schemas.microsoft.com/office/drawing/2014/main" id="{0C35B084-BDA4-4E96-A462-97ED034D00A6}"/>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363" name="Text Box 10">
          <a:extLst>
            <a:ext uri="{FF2B5EF4-FFF2-40B4-BE49-F238E27FC236}">
              <a16:creationId xmlns="" xmlns:a16="http://schemas.microsoft.com/office/drawing/2014/main" id="{AEF13CD9-3CA5-4447-A478-F5576EAD2384}"/>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364" name="Text Box 11">
          <a:extLst>
            <a:ext uri="{FF2B5EF4-FFF2-40B4-BE49-F238E27FC236}">
              <a16:creationId xmlns="" xmlns:a16="http://schemas.microsoft.com/office/drawing/2014/main" id="{3CFFBAE6-6A5A-40AF-B2E7-DD08ADC27B20}"/>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365" name="Text Box 12">
          <a:extLst>
            <a:ext uri="{FF2B5EF4-FFF2-40B4-BE49-F238E27FC236}">
              <a16:creationId xmlns="" xmlns:a16="http://schemas.microsoft.com/office/drawing/2014/main" id="{5D56ABDC-5E2B-4764-89AD-55F2A5E43A8D}"/>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366" name="Text Box 10">
          <a:extLst>
            <a:ext uri="{FF2B5EF4-FFF2-40B4-BE49-F238E27FC236}">
              <a16:creationId xmlns="" xmlns:a16="http://schemas.microsoft.com/office/drawing/2014/main" id="{16B56C0B-AE6F-44AE-B91B-683DAE8A325A}"/>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367" name="Text Box 11">
          <a:extLst>
            <a:ext uri="{FF2B5EF4-FFF2-40B4-BE49-F238E27FC236}">
              <a16:creationId xmlns="" xmlns:a16="http://schemas.microsoft.com/office/drawing/2014/main" id="{831A4215-0825-4259-90B1-BBE86C060565}"/>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368" name="Text Box 12">
          <a:extLst>
            <a:ext uri="{FF2B5EF4-FFF2-40B4-BE49-F238E27FC236}">
              <a16:creationId xmlns="" xmlns:a16="http://schemas.microsoft.com/office/drawing/2014/main" id="{486BEEC1-1BAD-4674-9753-FA047FE0AA5C}"/>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369" name="Text Box 10">
          <a:extLst>
            <a:ext uri="{FF2B5EF4-FFF2-40B4-BE49-F238E27FC236}">
              <a16:creationId xmlns="" xmlns:a16="http://schemas.microsoft.com/office/drawing/2014/main" id="{39530034-11B2-410E-874C-3A8A3FE93C8E}"/>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370" name="Text Box 11">
          <a:extLst>
            <a:ext uri="{FF2B5EF4-FFF2-40B4-BE49-F238E27FC236}">
              <a16:creationId xmlns="" xmlns:a16="http://schemas.microsoft.com/office/drawing/2014/main" id="{4325EE7B-A672-4891-A97D-AEFECD049D0E}"/>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371" name="Text Box 12">
          <a:extLst>
            <a:ext uri="{FF2B5EF4-FFF2-40B4-BE49-F238E27FC236}">
              <a16:creationId xmlns="" xmlns:a16="http://schemas.microsoft.com/office/drawing/2014/main" id="{DE1802FC-FAEF-49DE-BEE4-A228B45D42A8}"/>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372" name="Text Box 10">
          <a:extLst>
            <a:ext uri="{FF2B5EF4-FFF2-40B4-BE49-F238E27FC236}">
              <a16:creationId xmlns="" xmlns:a16="http://schemas.microsoft.com/office/drawing/2014/main" id="{715849E0-0789-4518-A654-80DB42FBA242}"/>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373" name="Text Box 11">
          <a:extLst>
            <a:ext uri="{FF2B5EF4-FFF2-40B4-BE49-F238E27FC236}">
              <a16:creationId xmlns="" xmlns:a16="http://schemas.microsoft.com/office/drawing/2014/main" id="{E2818C83-1798-4849-8DFE-304F084C06F2}"/>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374" name="Text Box 12">
          <a:extLst>
            <a:ext uri="{FF2B5EF4-FFF2-40B4-BE49-F238E27FC236}">
              <a16:creationId xmlns="" xmlns:a16="http://schemas.microsoft.com/office/drawing/2014/main" id="{045039F0-0513-4232-893B-064043C1BD55}"/>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375" name="Text Box 10">
          <a:extLst>
            <a:ext uri="{FF2B5EF4-FFF2-40B4-BE49-F238E27FC236}">
              <a16:creationId xmlns="" xmlns:a16="http://schemas.microsoft.com/office/drawing/2014/main" id="{5762DFEF-CB5F-4668-8A2B-C0549B5A3B97}"/>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376" name="Text Box 11">
          <a:extLst>
            <a:ext uri="{FF2B5EF4-FFF2-40B4-BE49-F238E27FC236}">
              <a16:creationId xmlns="" xmlns:a16="http://schemas.microsoft.com/office/drawing/2014/main" id="{F73D520A-F8ED-4D6C-8AEC-6AF8265B2D7D}"/>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377" name="Text Box 12">
          <a:extLst>
            <a:ext uri="{FF2B5EF4-FFF2-40B4-BE49-F238E27FC236}">
              <a16:creationId xmlns="" xmlns:a16="http://schemas.microsoft.com/office/drawing/2014/main" id="{C6D7A469-50CC-4522-886D-9038E32C5278}"/>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378" name="Text Box 10">
          <a:extLst>
            <a:ext uri="{FF2B5EF4-FFF2-40B4-BE49-F238E27FC236}">
              <a16:creationId xmlns="" xmlns:a16="http://schemas.microsoft.com/office/drawing/2014/main" id="{A295455D-FB33-4499-A136-628A3E3AC3DC}"/>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379" name="Text Box 11">
          <a:extLst>
            <a:ext uri="{FF2B5EF4-FFF2-40B4-BE49-F238E27FC236}">
              <a16:creationId xmlns="" xmlns:a16="http://schemas.microsoft.com/office/drawing/2014/main" id="{6AEB9CED-FE37-4851-815B-DE009D3E489F}"/>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380" name="Text Box 12">
          <a:extLst>
            <a:ext uri="{FF2B5EF4-FFF2-40B4-BE49-F238E27FC236}">
              <a16:creationId xmlns="" xmlns:a16="http://schemas.microsoft.com/office/drawing/2014/main" id="{4D0F35F2-2E05-4C54-88C8-5656107F89B8}"/>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381" name="Text Box 10">
          <a:extLst>
            <a:ext uri="{FF2B5EF4-FFF2-40B4-BE49-F238E27FC236}">
              <a16:creationId xmlns="" xmlns:a16="http://schemas.microsoft.com/office/drawing/2014/main" id="{3E64E33B-3222-4ED8-95BE-D869B267BC27}"/>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382" name="Text Box 11">
          <a:extLst>
            <a:ext uri="{FF2B5EF4-FFF2-40B4-BE49-F238E27FC236}">
              <a16:creationId xmlns="" xmlns:a16="http://schemas.microsoft.com/office/drawing/2014/main" id="{0120B83C-1A6E-4F7C-95F5-09EB9F6C1263}"/>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383" name="Text Box 12">
          <a:extLst>
            <a:ext uri="{FF2B5EF4-FFF2-40B4-BE49-F238E27FC236}">
              <a16:creationId xmlns="" xmlns:a16="http://schemas.microsoft.com/office/drawing/2014/main" id="{41936F71-EBB8-4A42-9C30-B3FA0A4671AC}"/>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384" name="Text Box 10">
          <a:extLst>
            <a:ext uri="{FF2B5EF4-FFF2-40B4-BE49-F238E27FC236}">
              <a16:creationId xmlns="" xmlns:a16="http://schemas.microsoft.com/office/drawing/2014/main" id="{E78091B8-95CB-4D5A-B212-E31DA37F5E7A}"/>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385" name="Text Box 11">
          <a:extLst>
            <a:ext uri="{FF2B5EF4-FFF2-40B4-BE49-F238E27FC236}">
              <a16:creationId xmlns="" xmlns:a16="http://schemas.microsoft.com/office/drawing/2014/main" id="{EC49E7EC-BB34-47B3-BBA1-10BEED1F202B}"/>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386" name="Text Box 12">
          <a:extLst>
            <a:ext uri="{FF2B5EF4-FFF2-40B4-BE49-F238E27FC236}">
              <a16:creationId xmlns="" xmlns:a16="http://schemas.microsoft.com/office/drawing/2014/main" id="{75FA60EF-A3C3-4E89-8E4B-539F0DA86759}"/>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387" name="Text Box 10">
          <a:extLst>
            <a:ext uri="{FF2B5EF4-FFF2-40B4-BE49-F238E27FC236}">
              <a16:creationId xmlns="" xmlns:a16="http://schemas.microsoft.com/office/drawing/2014/main" id="{2CE739CD-BC47-4EDF-9E53-46AF169B3DFD}"/>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388" name="Text Box 11">
          <a:extLst>
            <a:ext uri="{FF2B5EF4-FFF2-40B4-BE49-F238E27FC236}">
              <a16:creationId xmlns="" xmlns:a16="http://schemas.microsoft.com/office/drawing/2014/main" id="{3340C5E4-E1B4-40D3-ABC0-92AF740DC2F6}"/>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389" name="Text Box 12">
          <a:extLst>
            <a:ext uri="{FF2B5EF4-FFF2-40B4-BE49-F238E27FC236}">
              <a16:creationId xmlns="" xmlns:a16="http://schemas.microsoft.com/office/drawing/2014/main" id="{E205B4AB-DB3C-4078-8887-27ACA9760588}"/>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390" name="Text Box 10">
          <a:extLst>
            <a:ext uri="{FF2B5EF4-FFF2-40B4-BE49-F238E27FC236}">
              <a16:creationId xmlns="" xmlns:a16="http://schemas.microsoft.com/office/drawing/2014/main" id="{B8BD17AE-68E1-4E7A-8152-EAC6ABE078C7}"/>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391" name="Text Box 11">
          <a:extLst>
            <a:ext uri="{FF2B5EF4-FFF2-40B4-BE49-F238E27FC236}">
              <a16:creationId xmlns="" xmlns:a16="http://schemas.microsoft.com/office/drawing/2014/main" id="{6DA6265D-B619-4364-9007-B900DD6633D9}"/>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29</xdr:row>
      <xdr:rowOff>0</xdr:rowOff>
    </xdr:from>
    <xdr:to>
      <xdr:col>2</xdr:col>
      <xdr:colOff>104775</xdr:colOff>
      <xdr:row>34</xdr:row>
      <xdr:rowOff>507507</xdr:rowOff>
    </xdr:to>
    <xdr:sp macro="" textlink="">
      <xdr:nvSpPr>
        <xdr:cNvPr id="1392" name="Text Box 12">
          <a:extLst>
            <a:ext uri="{FF2B5EF4-FFF2-40B4-BE49-F238E27FC236}">
              <a16:creationId xmlns="" xmlns:a16="http://schemas.microsoft.com/office/drawing/2014/main" id="{BB311C2B-4AC7-4418-87C9-F2AB8DC574FA}"/>
            </a:ext>
          </a:extLst>
        </xdr:cNvPr>
        <xdr:cNvSpPr txBox="1">
          <a:spLocks noChangeArrowheads="1"/>
        </xdr:cNvSpPr>
      </xdr:nvSpPr>
      <xdr:spPr bwMode="auto">
        <a:xfrm>
          <a:off x="4314825" y="16754475"/>
          <a:ext cx="95250" cy="2774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393" name="Text Box 10">
          <a:extLst>
            <a:ext uri="{FF2B5EF4-FFF2-40B4-BE49-F238E27FC236}">
              <a16:creationId xmlns="" xmlns:a16="http://schemas.microsoft.com/office/drawing/2014/main" id="{C2F0411B-4FFD-4EE7-9211-FDEA3040DD5A}"/>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394" name="Text Box 11">
          <a:extLst>
            <a:ext uri="{FF2B5EF4-FFF2-40B4-BE49-F238E27FC236}">
              <a16:creationId xmlns="" xmlns:a16="http://schemas.microsoft.com/office/drawing/2014/main" id="{E929FBD2-2246-4079-BCA1-A3241A525849}"/>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395" name="Text Box 12">
          <a:extLst>
            <a:ext uri="{FF2B5EF4-FFF2-40B4-BE49-F238E27FC236}">
              <a16:creationId xmlns="" xmlns:a16="http://schemas.microsoft.com/office/drawing/2014/main" id="{0D2BC21C-03AF-4CEC-8210-3095514EB131}"/>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396" name="Text Box 10">
          <a:extLst>
            <a:ext uri="{FF2B5EF4-FFF2-40B4-BE49-F238E27FC236}">
              <a16:creationId xmlns="" xmlns:a16="http://schemas.microsoft.com/office/drawing/2014/main" id="{0FE349B5-B04A-42B7-ABC3-7E660C28182E}"/>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397" name="Text Box 11">
          <a:extLst>
            <a:ext uri="{FF2B5EF4-FFF2-40B4-BE49-F238E27FC236}">
              <a16:creationId xmlns="" xmlns:a16="http://schemas.microsoft.com/office/drawing/2014/main" id="{E10FAF6D-68B7-4555-8A05-1FFF032207ED}"/>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398" name="Text Box 12">
          <a:extLst>
            <a:ext uri="{FF2B5EF4-FFF2-40B4-BE49-F238E27FC236}">
              <a16:creationId xmlns="" xmlns:a16="http://schemas.microsoft.com/office/drawing/2014/main" id="{008B8574-5CFD-46A5-837F-81B6EB891B0B}"/>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399" name="Text Box 10">
          <a:extLst>
            <a:ext uri="{FF2B5EF4-FFF2-40B4-BE49-F238E27FC236}">
              <a16:creationId xmlns="" xmlns:a16="http://schemas.microsoft.com/office/drawing/2014/main" id="{ABE208C0-C4AA-4C30-87D5-537F342240EA}"/>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400" name="Text Box 11">
          <a:extLst>
            <a:ext uri="{FF2B5EF4-FFF2-40B4-BE49-F238E27FC236}">
              <a16:creationId xmlns="" xmlns:a16="http://schemas.microsoft.com/office/drawing/2014/main" id="{1AF57D58-006B-4572-8A6E-690A9C69891E}"/>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401" name="Text Box 12">
          <a:extLst>
            <a:ext uri="{FF2B5EF4-FFF2-40B4-BE49-F238E27FC236}">
              <a16:creationId xmlns="" xmlns:a16="http://schemas.microsoft.com/office/drawing/2014/main" id="{29FC4001-707C-49C0-B7C1-AA773A3E7205}"/>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402" name="Text Box 10">
          <a:extLst>
            <a:ext uri="{FF2B5EF4-FFF2-40B4-BE49-F238E27FC236}">
              <a16:creationId xmlns="" xmlns:a16="http://schemas.microsoft.com/office/drawing/2014/main" id="{2DBB6214-8351-46BB-8C70-8A7B89DCA9C6}"/>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403" name="Text Box 11">
          <a:extLst>
            <a:ext uri="{FF2B5EF4-FFF2-40B4-BE49-F238E27FC236}">
              <a16:creationId xmlns="" xmlns:a16="http://schemas.microsoft.com/office/drawing/2014/main" id="{961E0E35-3F7C-4707-8FF7-C2B2EE117AFF}"/>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404" name="Text Box 12">
          <a:extLst>
            <a:ext uri="{FF2B5EF4-FFF2-40B4-BE49-F238E27FC236}">
              <a16:creationId xmlns="" xmlns:a16="http://schemas.microsoft.com/office/drawing/2014/main" id="{9C76E059-FDE2-45DC-8C35-B298C9CD27B6}"/>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405" name="Text Box 10">
          <a:extLst>
            <a:ext uri="{FF2B5EF4-FFF2-40B4-BE49-F238E27FC236}">
              <a16:creationId xmlns="" xmlns:a16="http://schemas.microsoft.com/office/drawing/2014/main" id="{5C6F6696-78A5-4349-B516-2357339A72BC}"/>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406" name="Text Box 11">
          <a:extLst>
            <a:ext uri="{FF2B5EF4-FFF2-40B4-BE49-F238E27FC236}">
              <a16:creationId xmlns="" xmlns:a16="http://schemas.microsoft.com/office/drawing/2014/main" id="{EA340560-D2F0-43D3-B4A6-527F521E341F}"/>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407" name="Text Box 12">
          <a:extLst>
            <a:ext uri="{FF2B5EF4-FFF2-40B4-BE49-F238E27FC236}">
              <a16:creationId xmlns="" xmlns:a16="http://schemas.microsoft.com/office/drawing/2014/main" id="{FDE78D97-7681-426B-94B3-8F0A9A4FB7E6}"/>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408" name="Text Box 10">
          <a:extLst>
            <a:ext uri="{FF2B5EF4-FFF2-40B4-BE49-F238E27FC236}">
              <a16:creationId xmlns="" xmlns:a16="http://schemas.microsoft.com/office/drawing/2014/main" id="{7167DFDE-E720-4A57-B8C4-903E07BFAA66}"/>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409" name="Text Box 11">
          <a:extLst>
            <a:ext uri="{FF2B5EF4-FFF2-40B4-BE49-F238E27FC236}">
              <a16:creationId xmlns="" xmlns:a16="http://schemas.microsoft.com/office/drawing/2014/main" id="{5A371D6E-8DEA-4CB6-AEAB-118612167A18}"/>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410" name="Text Box 12">
          <a:extLst>
            <a:ext uri="{FF2B5EF4-FFF2-40B4-BE49-F238E27FC236}">
              <a16:creationId xmlns="" xmlns:a16="http://schemas.microsoft.com/office/drawing/2014/main" id="{7F79D4F2-4613-42BE-BA2E-6FAFA36FBEE8}"/>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411" name="Text Box 10">
          <a:extLst>
            <a:ext uri="{FF2B5EF4-FFF2-40B4-BE49-F238E27FC236}">
              <a16:creationId xmlns="" xmlns:a16="http://schemas.microsoft.com/office/drawing/2014/main" id="{C8EE8FC6-24C0-4AC0-890F-E0EA2CB8AC28}"/>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412" name="Text Box 11">
          <a:extLst>
            <a:ext uri="{FF2B5EF4-FFF2-40B4-BE49-F238E27FC236}">
              <a16:creationId xmlns="" xmlns:a16="http://schemas.microsoft.com/office/drawing/2014/main" id="{F6B6BC5E-605E-4399-B55B-7525610C4EDE}"/>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413" name="Text Box 12">
          <a:extLst>
            <a:ext uri="{FF2B5EF4-FFF2-40B4-BE49-F238E27FC236}">
              <a16:creationId xmlns="" xmlns:a16="http://schemas.microsoft.com/office/drawing/2014/main" id="{79AAD5B9-7D1A-4CD0-8234-424366A399D6}"/>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414" name="Text Box 10">
          <a:extLst>
            <a:ext uri="{FF2B5EF4-FFF2-40B4-BE49-F238E27FC236}">
              <a16:creationId xmlns="" xmlns:a16="http://schemas.microsoft.com/office/drawing/2014/main" id="{05C1D108-DE69-48C5-971A-6CF36D95742F}"/>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415" name="Text Box 11">
          <a:extLst>
            <a:ext uri="{FF2B5EF4-FFF2-40B4-BE49-F238E27FC236}">
              <a16:creationId xmlns="" xmlns:a16="http://schemas.microsoft.com/office/drawing/2014/main" id="{51D2833D-5E85-4AB8-9C81-98BACA56C371}"/>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416" name="Text Box 12">
          <a:extLst>
            <a:ext uri="{FF2B5EF4-FFF2-40B4-BE49-F238E27FC236}">
              <a16:creationId xmlns="" xmlns:a16="http://schemas.microsoft.com/office/drawing/2014/main" id="{A273BBEE-1AA7-474B-96B9-D5F07FA4A038}"/>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417" name="Text Box 10">
          <a:extLst>
            <a:ext uri="{FF2B5EF4-FFF2-40B4-BE49-F238E27FC236}">
              <a16:creationId xmlns="" xmlns:a16="http://schemas.microsoft.com/office/drawing/2014/main" id="{FCB532D0-7896-4470-BFC1-2EE7D7713CF7}"/>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418" name="Text Box 11">
          <a:extLst>
            <a:ext uri="{FF2B5EF4-FFF2-40B4-BE49-F238E27FC236}">
              <a16:creationId xmlns="" xmlns:a16="http://schemas.microsoft.com/office/drawing/2014/main" id="{098E2269-B097-4478-B838-F62746177F80}"/>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419" name="Text Box 12">
          <a:extLst>
            <a:ext uri="{FF2B5EF4-FFF2-40B4-BE49-F238E27FC236}">
              <a16:creationId xmlns="" xmlns:a16="http://schemas.microsoft.com/office/drawing/2014/main" id="{F7E25F3A-C274-4E29-83B4-9B6A2B4165C4}"/>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420" name="Text Box 10">
          <a:extLst>
            <a:ext uri="{FF2B5EF4-FFF2-40B4-BE49-F238E27FC236}">
              <a16:creationId xmlns="" xmlns:a16="http://schemas.microsoft.com/office/drawing/2014/main" id="{B03E2314-3582-4B62-9F22-46C5BC18FDE4}"/>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421" name="Text Box 11">
          <a:extLst>
            <a:ext uri="{FF2B5EF4-FFF2-40B4-BE49-F238E27FC236}">
              <a16:creationId xmlns="" xmlns:a16="http://schemas.microsoft.com/office/drawing/2014/main" id="{1BEFE5D2-0BC0-4992-9937-B3711C410C76}"/>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422" name="Text Box 12">
          <a:extLst>
            <a:ext uri="{FF2B5EF4-FFF2-40B4-BE49-F238E27FC236}">
              <a16:creationId xmlns="" xmlns:a16="http://schemas.microsoft.com/office/drawing/2014/main" id="{42850026-5ABF-44B2-9985-FDC440E88CFB}"/>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423" name="Text Box 10">
          <a:extLst>
            <a:ext uri="{FF2B5EF4-FFF2-40B4-BE49-F238E27FC236}">
              <a16:creationId xmlns="" xmlns:a16="http://schemas.microsoft.com/office/drawing/2014/main" id="{677098B9-D85D-48C6-80D0-5A0436F150CE}"/>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424" name="Text Box 11">
          <a:extLst>
            <a:ext uri="{FF2B5EF4-FFF2-40B4-BE49-F238E27FC236}">
              <a16:creationId xmlns="" xmlns:a16="http://schemas.microsoft.com/office/drawing/2014/main" id="{8D777321-7049-469B-8A56-57C5BCD9A409}"/>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425" name="Text Box 12">
          <a:extLst>
            <a:ext uri="{FF2B5EF4-FFF2-40B4-BE49-F238E27FC236}">
              <a16:creationId xmlns="" xmlns:a16="http://schemas.microsoft.com/office/drawing/2014/main" id="{89976044-3242-48EC-8328-E60A8C19B3C5}"/>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426" name="Text Box 10">
          <a:extLst>
            <a:ext uri="{FF2B5EF4-FFF2-40B4-BE49-F238E27FC236}">
              <a16:creationId xmlns="" xmlns:a16="http://schemas.microsoft.com/office/drawing/2014/main" id="{0E7136D8-EB0B-45E5-B041-8093D7850796}"/>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427" name="Text Box 11">
          <a:extLst>
            <a:ext uri="{FF2B5EF4-FFF2-40B4-BE49-F238E27FC236}">
              <a16:creationId xmlns="" xmlns:a16="http://schemas.microsoft.com/office/drawing/2014/main" id="{29A844A2-8F06-45C1-AED6-533698F095EB}"/>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428" name="Text Box 12">
          <a:extLst>
            <a:ext uri="{FF2B5EF4-FFF2-40B4-BE49-F238E27FC236}">
              <a16:creationId xmlns="" xmlns:a16="http://schemas.microsoft.com/office/drawing/2014/main" id="{F29FA0E0-1A15-4B1B-80F2-F43AD382B944}"/>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429" name="Text Box 10">
          <a:extLst>
            <a:ext uri="{FF2B5EF4-FFF2-40B4-BE49-F238E27FC236}">
              <a16:creationId xmlns="" xmlns:a16="http://schemas.microsoft.com/office/drawing/2014/main" id="{121A3E2A-C8F5-4A5B-B32E-0E915BD9EA34}"/>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430" name="Text Box 11">
          <a:extLst>
            <a:ext uri="{FF2B5EF4-FFF2-40B4-BE49-F238E27FC236}">
              <a16:creationId xmlns="" xmlns:a16="http://schemas.microsoft.com/office/drawing/2014/main" id="{D52E7948-34A2-4135-A767-ACAD287B56B6}"/>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431" name="Text Box 12">
          <a:extLst>
            <a:ext uri="{FF2B5EF4-FFF2-40B4-BE49-F238E27FC236}">
              <a16:creationId xmlns="" xmlns:a16="http://schemas.microsoft.com/office/drawing/2014/main" id="{9A3C4A0F-8794-4602-A6B2-3AAC5BA74BF3}"/>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432" name="Text Box 10">
          <a:extLst>
            <a:ext uri="{FF2B5EF4-FFF2-40B4-BE49-F238E27FC236}">
              <a16:creationId xmlns="" xmlns:a16="http://schemas.microsoft.com/office/drawing/2014/main" id="{5D2DE301-1242-448B-98AF-27326D0DA076}"/>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433" name="Text Box 11">
          <a:extLst>
            <a:ext uri="{FF2B5EF4-FFF2-40B4-BE49-F238E27FC236}">
              <a16:creationId xmlns="" xmlns:a16="http://schemas.microsoft.com/office/drawing/2014/main" id="{A36911DF-3F18-4F87-8A17-455E1CE37CE6}"/>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434" name="Text Box 12">
          <a:extLst>
            <a:ext uri="{FF2B5EF4-FFF2-40B4-BE49-F238E27FC236}">
              <a16:creationId xmlns="" xmlns:a16="http://schemas.microsoft.com/office/drawing/2014/main" id="{E9EF88B8-0FA8-4780-9D2E-8DEC9E8A445D}"/>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435" name="Text Box 10">
          <a:extLst>
            <a:ext uri="{FF2B5EF4-FFF2-40B4-BE49-F238E27FC236}">
              <a16:creationId xmlns="" xmlns:a16="http://schemas.microsoft.com/office/drawing/2014/main" id="{439057C1-F9DA-4F51-B3E9-1E15044412AF}"/>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436" name="Text Box 11">
          <a:extLst>
            <a:ext uri="{FF2B5EF4-FFF2-40B4-BE49-F238E27FC236}">
              <a16:creationId xmlns="" xmlns:a16="http://schemas.microsoft.com/office/drawing/2014/main" id="{1022FC8B-3ED2-49B7-9425-2D611B31547C}"/>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437" name="Text Box 12">
          <a:extLst>
            <a:ext uri="{FF2B5EF4-FFF2-40B4-BE49-F238E27FC236}">
              <a16:creationId xmlns="" xmlns:a16="http://schemas.microsoft.com/office/drawing/2014/main" id="{1EA7CA78-ACC8-4EF5-BC68-BC976CCAC66A}"/>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438" name="Text Box 10">
          <a:extLst>
            <a:ext uri="{FF2B5EF4-FFF2-40B4-BE49-F238E27FC236}">
              <a16:creationId xmlns="" xmlns:a16="http://schemas.microsoft.com/office/drawing/2014/main" id="{1D596982-A7BC-4E06-B644-079A135CF84C}"/>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439" name="Text Box 11">
          <a:extLst>
            <a:ext uri="{FF2B5EF4-FFF2-40B4-BE49-F238E27FC236}">
              <a16:creationId xmlns="" xmlns:a16="http://schemas.microsoft.com/office/drawing/2014/main" id="{BAB1A6E3-C859-4803-ACA2-70CBB259CE7E}"/>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440" name="Text Box 12">
          <a:extLst>
            <a:ext uri="{FF2B5EF4-FFF2-40B4-BE49-F238E27FC236}">
              <a16:creationId xmlns="" xmlns:a16="http://schemas.microsoft.com/office/drawing/2014/main" id="{444C42B3-9467-4120-95B0-161A28BDCDE0}"/>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441" name="Text Box 10">
          <a:extLst>
            <a:ext uri="{FF2B5EF4-FFF2-40B4-BE49-F238E27FC236}">
              <a16:creationId xmlns="" xmlns:a16="http://schemas.microsoft.com/office/drawing/2014/main" id="{57C59B70-3316-46AB-9A05-F6067F34502F}"/>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442" name="Text Box 11">
          <a:extLst>
            <a:ext uri="{FF2B5EF4-FFF2-40B4-BE49-F238E27FC236}">
              <a16:creationId xmlns="" xmlns:a16="http://schemas.microsoft.com/office/drawing/2014/main" id="{FB11BF63-6F70-4CBA-AD5D-43D4536FE4D7}"/>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443" name="Text Box 12">
          <a:extLst>
            <a:ext uri="{FF2B5EF4-FFF2-40B4-BE49-F238E27FC236}">
              <a16:creationId xmlns="" xmlns:a16="http://schemas.microsoft.com/office/drawing/2014/main" id="{A925A799-B263-4B4A-9F5D-02AA7F3B05DE}"/>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444" name="Text Box 10">
          <a:extLst>
            <a:ext uri="{FF2B5EF4-FFF2-40B4-BE49-F238E27FC236}">
              <a16:creationId xmlns="" xmlns:a16="http://schemas.microsoft.com/office/drawing/2014/main" id="{3CD19743-D13C-495F-B954-0F0DB187F740}"/>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445" name="Text Box 11">
          <a:extLst>
            <a:ext uri="{FF2B5EF4-FFF2-40B4-BE49-F238E27FC236}">
              <a16:creationId xmlns="" xmlns:a16="http://schemas.microsoft.com/office/drawing/2014/main" id="{E79D3B1D-244A-412A-8E25-3B43CA9C5717}"/>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446" name="Text Box 12">
          <a:extLst>
            <a:ext uri="{FF2B5EF4-FFF2-40B4-BE49-F238E27FC236}">
              <a16:creationId xmlns="" xmlns:a16="http://schemas.microsoft.com/office/drawing/2014/main" id="{38BEEE22-FCE5-4B74-967D-CE26A8E2F6E0}"/>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447" name="Text Box 10">
          <a:extLst>
            <a:ext uri="{FF2B5EF4-FFF2-40B4-BE49-F238E27FC236}">
              <a16:creationId xmlns="" xmlns:a16="http://schemas.microsoft.com/office/drawing/2014/main" id="{658999C5-ECEF-4BCD-9901-EF10B34EB04E}"/>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448" name="Text Box 11">
          <a:extLst>
            <a:ext uri="{FF2B5EF4-FFF2-40B4-BE49-F238E27FC236}">
              <a16:creationId xmlns="" xmlns:a16="http://schemas.microsoft.com/office/drawing/2014/main" id="{C615BBD9-F30B-477A-AF53-04DE598FB92F}"/>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449" name="Text Box 12">
          <a:extLst>
            <a:ext uri="{FF2B5EF4-FFF2-40B4-BE49-F238E27FC236}">
              <a16:creationId xmlns="" xmlns:a16="http://schemas.microsoft.com/office/drawing/2014/main" id="{035F4DEA-5497-41EA-8FAB-CB37CC1804B7}"/>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450" name="Text Box 10">
          <a:extLst>
            <a:ext uri="{FF2B5EF4-FFF2-40B4-BE49-F238E27FC236}">
              <a16:creationId xmlns="" xmlns:a16="http://schemas.microsoft.com/office/drawing/2014/main" id="{67047AE7-F6DD-456A-8263-0BD9A3957838}"/>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451" name="Text Box 11">
          <a:extLst>
            <a:ext uri="{FF2B5EF4-FFF2-40B4-BE49-F238E27FC236}">
              <a16:creationId xmlns="" xmlns:a16="http://schemas.microsoft.com/office/drawing/2014/main" id="{3D9B2C23-BF31-4FE5-A2E0-B42E08DCF162}"/>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452" name="Text Box 12">
          <a:extLst>
            <a:ext uri="{FF2B5EF4-FFF2-40B4-BE49-F238E27FC236}">
              <a16:creationId xmlns="" xmlns:a16="http://schemas.microsoft.com/office/drawing/2014/main" id="{0914795F-345C-4E17-9013-A5E14EC9780D}"/>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453" name="Text Box 10">
          <a:extLst>
            <a:ext uri="{FF2B5EF4-FFF2-40B4-BE49-F238E27FC236}">
              <a16:creationId xmlns="" xmlns:a16="http://schemas.microsoft.com/office/drawing/2014/main" id="{FAA16E80-817F-4782-BF5B-541F5F38A647}"/>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454" name="Text Box 11">
          <a:extLst>
            <a:ext uri="{FF2B5EF4-FFF2-40B4-BE49-F238E27FC236}">
              <a16:creationId xmlns="" xmlns:a16="http://schemas.microsoft.com/office/drawing/2014/main" id="{36018BFA-27EE-40A7-B2D6-BD8D0250C33D}"/>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455" name="Text Box 12">
          <a:extLst>
            <a:ext uri="{FF2B5EF4-FFF2-40B4-BE49-F238E27FC236}">
              <a16:creationId xmlns="" xmlns:a16="http://schemas.microsoft.com/office/drawing/2014/main" id="{D609B66C-80FD-49A1-92EC-1E6C9C8C5232}"/>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456" name="Text Box 10">
          <a:extLst>
            <a:ext uri="{FF2B5EF4-FFF2-40B4-BE49-F238E27FC236}">
              <a16:creationId xmlns="" xmlns:a16="http://schemas.microsoft.com/office/drawing/2014/main" id="{EDA35C7B-C1B4-4A5A-86DC-EB3DA0A00024}"/>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457" name="Text Box 11">
          <a:extLst>
            <a:ext uri="{FF2B5EF4-FFF2-40B4-BE49-F238E27FC236}">
              <a16:creationId xmlns="" xmlns:a16="http://schemas.microsoft.com/office/drawing/2014/main" id="{35A5753A-08B8-4B9B-B7B8-36607FD31638}"/>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458" name="Text Box 12">
          <a:extLst>
            <a:ext uri="{FF2B5EF4-FFF2-40B4-BE49-F238E27FC236}">
              <a16:creationId xmlns="" xmlns:a16="http://schemas.microsoft.com/office/drawing/2014/main" id="{2DAE3A2E-4F11-4B34-A812-847299F3260E}"/>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459" name="Text Box 10">
          <a:extLst>
            <a:ext uri="{FF2B5EF4-FFF2-40B4-BE49-F238E27FC236}">
              <a16:creationId xmlns="" xmlns:a16="http://schemas.microsoft.com/office/drawing/2014/main" id="{F52C6CA5-1601-425A-9DF9-125BF5E263EA}"/>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460" name="Text Box 11">
          <a:extLst>
            <a:ext uri="{FF2B5EF4-FFF2-40B4-BE49-F238E27FC236}">
              <a16:creationId xmlns="" xmlns:a16="http://schemas.microsoft.com/office/drawing/2014/main" id="{7117C448-77FD-4A70-8B3A-BD0A2B7CF5C1}"/>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461" name="Text Box 12">
          <a:extLst>
            <a:ext uri="{FF2B5EF4-FFF2-40B4-BE49-F238E27FC236}">
              <a16:creationId xmlns="" xmlns:a16="http://schemas.microsoft.com/office/drawing/2014/main" id="{7EA0DEFA-B345-4355-93BD-AE9ED748ED59}"/>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462" name="Text Box 10">
          <a:extLst>
            <a:ext uri="{FF2B5EF4-FFF2-40B4-BE49-F238E27FC236}">
              <a16:creationId xmlns="" xmlns:a16="http://schemas.microsoft.com/office/drawing/2014/main" id="{024CF848-FD32-4BA3-AC2E-76C95D32CCB7}"/>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463" name="Text Box 11">
          <a:extLst>
            <a:ext uri="{FF2B5EF4-FFF2-40B4-BE49-F238E27FC236}">
              <a16:creationId xmlns="" xmlns:a16="http://schemas.microsoft.com/office/drawing/2014/main" id="{16C7B9D8-F680-45A1-BC30-B669DF0E5E60}"/>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464" name="Text Box 12">
          <a:extLst>
            <a:ext uri="{FF2B5EF4-FFF2-40B4-BE49-F238E27FC236}">
              <a16:creationId xmlns="" xmlns:a16="http://schemas.microsoft.com/office/drawing/2014/main" id="{F54D4D1B-96B3-44C2-965E-AE77814891E5}"/>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465" name="Text Box 10">
          <a:extLst>
            <a:ext uri="{FF2B5EF4-FFF2-40B4-BE49-F238E27FC236}">
              <a16:creationId xmlns="" xmlns:a16="http://schemas.microsoft.com/office/drawing/2014/main" id="{8B76F28A-BA89-4120-8FC0-46748CE8C398}"/>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466" name="Text Box 11">
          <a:extLst>
            <a:ext uri="{FF2B5EF4-FFF2-40B4-BE49-F238E27FC236}">
              <a16:creationId xmlns="" xmlns:a16="http://schemas.microsoft.com/office/drawing/2014/main" id="{582BEB3C-B4F4-47A0-807B-910CC67C6AC8}"/>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467" name="Text Box 12">
          <a:extLst>
            <a:ext uri="{FF2B5EF4-FFF2-40B4-BE49-F238E27FC236}">
              <a16:creationId xmlns="" xmlns:a16="http://schemas.microsoft.com/office/drawing/2014/main" id="{202C2124-862C-46AE-83E7-F84F7CB56C89}"/>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468" name="Text Box 10">
          <a:extLst>
            <a:ext uri="{FF2B5EF4-FFF2-40B4-BE49-F238E27FC236}">
              <a16:creationId xmlns="" xmlns:a16="http://schemas.microsoft.com/office/drawing/2014/main" id="{D030DAEC-81FE-411E-AF66-EA797E3A2BE8}"/>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469" name="Text Box 11">
          <a:extLst>
            <a:ext uri="{FF2B5EF4-FFF2-40B4-BE49-F238E27FC236}">
              <a16:creationId xmlns="" xmlns:a16="http://schemas.microsoft.com/office/drawing/2014/main" id="{FF5FE44C-B0ED-4CCA-B205-22D5C63944DC}"/>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470" name="Text Box 12">
          <a:extLst>
            <a:ext uri="{FF2B5EF4-FFF2-40B4-BE49-F238E27FC236}">
              <a16:creationId xmlns="" xmlns:a16="http://schemas.microsoft.com/office/drawing/2014/main" id="{F8DCA5ED-9D91-4DE6-9AED-6A935E3E8687}"/>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471" name="Text Box 10">
          <a:extLst>
            <a:ext uri="{FF2B5EF4-FFF2-40B4-BE49-F238E27FC236}">
              <a16:creationId xmlns="" xmlns:a16="http://schemas.microsoft.com/office/drawing/2014/main" id="{5DD88B1C-A61A-49B4-9F1C-01A87491B919}"/>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472" name="Text Box 11">
          <a:extLst>
            <a:ext uri="{FF2B5EF4-FFF2-40B4-BE49-F238E27FC236}">
              <a16:creationId xmlns="" xmlns:a16="http://schemas.microsoft.com/office/drawing/2014/main" id="{8662743D-096B-41A6-B857-98D1C15A22ED}"/>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473" name="Text Box 12">
          <a:extLst>
            <a:ext uri="{FF2B5EF4-FFF2-40B4-BE49-F238E27FC236}">
              <a16:creationId xmlns="" xmlns:a16="http://schemas.microsoft.com/office/drawing/2014/main" id="{83B1F852-BFFD-49D5-AE79-5EB087E34C7F}"/>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474" name="Text Box 10">
          <a:extLst>
            <a:ext uri="{FF2B5EF4-FFF2-40B4-BE49-F238E27FC236}">
              <a16:creationId xmlns="" xmlns:a16="http://schemas.microsoft.com/office/drawing/2014/main" id="{8F336D92-ED4F-48FA-B725-E1058A86AD50}"/>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475" name="Text Box 11">
          <a:extLst>
            <a:ext uri="{FF2B5EF4-FFF2-40B4-BE49-F238E27FC236}">
              <a16:creationId xmlns="" xmlns:a16="http://schemas.microsoft.com/office/drawing/2014/main" id="{B75C113A-E922-42B9-A4F8-3F4BA758AF3C}"/>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476" name="Text Box 12">
          <a:extLst>
            <a:ext uri="{FF2B5EF4-FFF2-40B4-BE49-F238E27FC236}">
              <a16:creationId xmlns="" xmlns:a16="http://schemas.microsoft.com/office/drawing/2014/main" id="{F8ED98C2-5E5B-4B5E-B94B-E5F9ADE1670A}"/>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477" name="Text Box 10">
          <a:extLst>
            <a:ext uri="{FF2B5EF4-FFF2-40B4-BE49-F238E27FC236}">
              <a16:creationId xmlns="" xmlns:a16="http://schemas.microsoft.com/office/drawing/2014/main" id="{1E90868B-5AE9-4BAC-AA31-7440A5E51179}"/>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478" name="Text Box 11">
          <a:extLst>
            <a:ext uri="{FF2B5EF4-FFF2-40B4-BE49-F238E27FC236}">
              <a16:creationId xmlns="" xmlns:a16="http://schemas.microsoft.com/office/drawing/2014/main" id="{04D6BA92-7816-4177-873E-276D2F7D85BC}"/>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479" name="Text Box 12">
          <a:extLst>
            <a:ext uri="{FF2B5EF4-FFF2-40B4-BE49-F238E27FC236}">
              <a16:creationId xmlns="" xmlns:a16="http://schemas.microsoft.com/office/drawing/2014/main" id="{292DE56B-B86F-42A3-8376-90CC5F0F0593}"/>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480" name="Text Box 10">
          <a:extLst>
            <a:ext uri="{FF2B5EF4-FFF2-40B4-BE49-F238E27FC236}">
              <a16:creationId xmlns="" xmlns:a16="http://schemas.microsoft.com/office/drawing/2014/main" id="{6CA6AC2A-7E68-4FD9-84CD-4421763E3821}"/>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481" name="Text Box 11">
          <a:extLst>
            <a:ext uri="{FF2B5EF4-FFF2-40B4-BE49-F238E27FC236}">
              <a16:creationId xmlns="" xmlns:a16="http://schemas.microsoft.com/office/drawing/2014/main" id="{776DCA57-113D-4EB0-86DE-D4150AE00AA4}"/>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482" name="Text Box 12">
          <a:extLst>
            <a:ext uri="{FF2B5EF4-FFF2-40B4-BE49-F238E27FC236}">
              <a16:creationId xmlns="" xmlns:a16="http://schemas.microsoft.com/office/drawing/2014/main" id="{22BEFC65-9E14-4DAC-B966-AE99C7F7518B}"/>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483" name="Text Box 10">
          <a:extLst>
            <a:ext uri="{FF2B5EF4-FFF2-40B4-BE49-F238E27FC236}">
              <a16:creationId xmlns="" xmlns:a16="http://schemas.microsoft.com/office/drawing/2014/main" id="{00C47C00-64B4-4241-B509-2F6D866C01DC}"/>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484" name="Text Box 11">
          <a:extLst>
            <a:ext uri="{FF2B5EF4-FFF2-40B4-BE49-F238E27FC236}">
              <a16:creationId xmlns="" xmlns:a16="http://schemas.microsoft.com/office/drawing/2014/main" id="{4AEEAD04-C8CF-4868-82AF-A587DA7A03BF}"/>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485" name="Text Box 12">
          <a:extLst>
            <a:ext uri="{FF2B5EF4-FFF2-40B4-BE49-F238E27FC236}">
              <a16:creationId xmlns="" xmlns:a16="http://schemas.microsoft.com/office/drawing/2014/main" id="{2206ADD0-9820-483D-88F2-C8F18A8A0A62}"/>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486" name="Text Box 10">
          <a:extLst>
            <a:ext uri="{FF2B5EF4-FFF2-40B4-BE49-F238E27FC236}">
              <a16:creationId xmlns="" xmlns:a16="http://schemas.microsoft.com/office/drawing/2014/main" id="{3F345138-D96B-4745-ADFD-8B41640F007B}"/>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487" name="Text Box 11">
          <a:extLst>
            <a:ext uri="{FF2B5EF4-FFF2-40B4-BE49-F238E27FC236}">
              <a16:creationId xmlns="" xmlns:a16="http://schemas.microsoft.com/office/drawing/2014/main" id="{30ED4A74-A702-4BC1-85CC-2205F10D546A}"/>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488" name="Text Box 12">
          <a:extLst>
            <a:ext uri="{FF2B5EF4-FFF2-40B4-BE49-F238E27FC236}">
              <a16:creationId xmlns="" xmlns:a16="http://schemas.microsoft.com/office/drawing/2014/main" id="{01ECCDEF-A24A-4586-ACF2-DEA2B40719D9}"/>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489" name="Text Box 10">
          <a:extLst>
            <a:ext uri="{FF2B5EF4-FFF2-40B4-BE49-F238E27FC236}">
              <a16:creationId xmlns="" xmlns:a16="http://schemas.microsoft.com/office/drawing/2014/main" id="{CEC4F0AF-73CB-4754-BDBB-419710449BA9}"/>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490" name="Text Box 11">
          <a:extLst>
            <a:ext uri="{FF2B5EF4-FFF2-40B4-BE49-F238E27FC236}">
              <a16:creationId xmlns="" xmlns:a16="http://schemas.microsoft.com/office/drawing/2014/main" id="{6471DB9B-D42A-4D2D-BF3B-73FA58497A00}"/>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491" name="Text Box 12">
          <a:extLst>
            <a:ext uri="{FF2B5EF4-FFF2-40B4-BE49-F238E27FC236}">
              <a16:creationId xmlns="" xmlns:a16="http://schemas.microsoft.com/office/drawing/2014/main" id="{5D2A2BCC-52E2-4D6D-B4E4-009D5910B8E9}"/>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492" name="Text Box 10">
          <a:extLst>
            <a:ext uri="{FF2B5EF4-FFF2-40B4-BE49-F238E27FC236}">
              <a16:creationId xmlns="" xmlns:a16="http://schemas.microsoft.com/office/drawing/2014/main" id="{C8FE2687-7C4B-431A-9937-37B5E5DD7DEC}"/>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493" name="Text Box 11">
          <a:extLst>
            <a:ext uri="{FF2B5EF4-FFF2-40B4-BE49-F238E27FC236}">
              <a16:creationId xmlns="" xmlns:a16="http://schemas.microsoft.com/office/drawing/2014/main" id="{FF8D4767-4ED0-43D7-857D-F1B1F1C13029}"/>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494" name="Text Box 12">
          <a:extLst>
            <a:ext uri="{FF2B5EF4-FFF2-40B4-BE49-F238E27FC236}">
              <a16:creationId xmlns="" xmlns:a16="http://schemas.microsoft.com/office/drawing/2014/main" id="{12A351AE-B145-4B23-8CD7-D3CAD06BFE3D}"/>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495" name="Text Box 10">
          <a:extLst>
            <a:ext uri="{FF2B5EF4-FFF2-40B4-BE49-F238E27FC236}">
              <a16:creationId xmlns="" xmlns:a16="http://schemas.microsoft.com/office/drawing/2014/main" id="{AF21C5F6-ABA0-4FC6-BBBE-01FF4247FC1D}"/>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496" name="Text Box 11">
          <a:extLst>
            <a:ext uri="{FF2B5EF4-FFF2-40B4-BE49-F238E27FC236}">
              <a16:creationId xmlns="" xmlns:a16="http://schemas.microsoft.com/office/drawing/2014/main" id="{B01935BD-E848-4CE7-A112-6F4A9E67C75E}"/>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497" name="Text Box 12">
          <a:extLst>
            <a:ext uri="{FF2B5EF4-FFF2-40B4-BE49-F238E27FC236}">
              <a16:creationId xmlns="" xmlns:a16="http://schemas.microsoft.com/office/drawing/2014/main" id="{03F531C3-1B69-4DBF-B38C-EE873A9F1749}"/>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498" name="Text Box 10">
          <a:extLst>
            <a:ext uri="{FF2B5EF4-FFF2-40B4-BE49-F238E27FC236}">
              <a16:creationId xmlns="" xmlns:a16="http://schemas.microsoft.com/office/drawing/2014/main" id="{2D70D170-9F27-4EC5-AF75-CD6EC6120171}"/>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499" name="Text Box 11">
          <a:extLst>
            <a:ext uri="{FF2B5EF4-FFF2-40B4-BE49-F238E27FC236}">
              <a16:creationId xmlns="" xmlns:a16="http://schemas.microsoft.com/office/drawing/2014/main" id="{7B2EFB2D-4FBB-4BD4-B5FC-160FB51D48DB}"/>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500" name="Text Box 12">
          <a:extLst>
            <a:ext uri="{FF2B5EF4-FFF2-40B4-BE49-F238E27FC236}">
              <a16:creationId xmlns="" xmlns:a16="http://schemas.microsoft.com/office/drawing/2014/main" id="{37AD714E-ABCE-47A4-A4C8-A3E6BFAC8527}"/>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501" name="Text Box 10">
          <a:extLst>
            <a:ext uri="{FF2B5EF4-FFF2-40B4-BE49-F238E27FC236}">
              <a16:creationId xmlns="" xmlns:a16="http://schemas.microsoft.com/office/drawing/2014/main" id="{DCAC3CD1-0FAB-44FA-8232-9E41449FAD2B}"/>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502" name="Text Box 11">
          <a:extLst>
            <a:ext uri="{FF2B5EF4-FFF2-40B4-BE49-F238E27FC236}">
              <a16:creationId xmlns="" xmlns:a16="http://schemas.microsoft.com/office/drawing/2014/main" id="{2E331C15-6220-41F1-B273-D6309DA97070}"/>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503" name="Text Box 12">
          <a:extLst>
            <a:ext uri="{FF2B5EF4-FFF2-40B4-BE49-F238E27FC236}">
              <a16:creationId xmlns="" xmlns:a16="http://schemas.microsoft.com/office/drawing/2014/main" id="{0552ECDF-AE7B-4AC2-9343-281D6561DA56}"/>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504" name="Text Box 10">
          <a:extLst>
            <a:ext uri="{FF2B5EF4-FFF2-40B4-BE49-F238E27FC236}">
              <a16:creationId xmlns="" xmlns:a16="http://schemas.microsoft.com/office/drawing/2014/main" id="{D0225D01-5524-4360-88B8-0421C4F5F738}"/>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505" name="Text Box 11">
          <a:extLst>
            <a:ext uri="{FF2B5EF4-FFF2-40B4-BE49-F238E27FC236}">
              <a16:creationId xmlns="" xmlns:a16="http://schemas.microsoft.com/office/drawing/2014/main" id="{AFEFCBAC-C883-4B9E-8AEB-001F48E6283D}"/>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506" name="Text Box 12">
          <a:extLst>
            <a:ext uri="{FF2B5EF4-FFF2-40B4-BE49-F238E27FC236}">
              <a16:creationId xmlns="" xmlns:a16="http://schemas.microsoft.com/office/drawing/2014/main" id="{44860FDA-5411-4140-A204-3296521C24DF}"/>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507" name="Text Box 10">
          <a:extLst>
            <a:ext uri="{FF2B5EF4-FFF2-40B4-BE49-F238E27FC236}">
              <a16:creationId xmlns="" xmlns:a16="http://schemas.microsoft.com/office/drawing/2014/main" id="{50CEE9CF-25D3-458A-BAA7-0BC2B2F0EA9C}"/>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508" name="Text Box 11">
          <a:extLst>
            <a:ext uri="{FF2B5EF4-FFF2-40B4-BE49-F238E27FC236}">
              <a16:creationId xmlns="" xmlns:a16="http://schemas.microsoft.com/office/drawing/2014/main" id="{8DDFCC4C-9D49-4258-BAF3-56A044EF7C80}"/>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509" name="Text Box 12">
          <a:extLst>
            <a:ext uri="{FF2B5EF4-FFF2-40B4-BE49-F238E27FC236}">
              <a16:creationId xmlns="" xmlns:a16="http://schemas.microsoft.com/office/drawing/2014/main" id="{72742BFD-01E2-448B-AB52-742822E63441}"/>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510" name="Text Box 10">
          <a:extLst>
            <a:ext uri="{FF2B5EF4-FFF2-40B4-BE49-F238E27FC236}">
              <a16:creationId xmlns="" xmlns:a16="http://schemas.microsoft.com/office/drawing/2014/main" id="{1159CA1C-B7A7-416A-8DD5-221EC7361615}"/>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511" name="Text Box 11">
          <a:extLst>
            <a:ext uri="{FF2B5EF4-FFF2-40B4-BE49-F238E27FC236}">
              <a16:creationId xmlns="" xmlns:a16="http://schemas.microsoft.com/office/drawing/2014/main" id="{68B35756-47DA-459F-BB01-AC84DD3F437C}"/>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512" name="Text Box 12">
          <a:extLst>
            <a:ext uri="{FF2B5EF4-FFF2-40B4-BE49-F238E27FC236}">
              <a16:creationId xmlns="" xmlns:a16="http://schemas.microsoft.com/office/drawing/2014/main" id="{54C661C2-7332-460F-B88B-8D042EB5D32A}"/>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513" name="Text Box 10">
          <a:extLst>
            <a:ext uri="{FF2B5EF4-FFF2-40B4-BE49-F238E27FC236}">
              <a16:creationId xmlns="" xmlns:a16="http://schemas.microsoft.com/office/drawing/2014/main" id="{997B2F4C-97B0-45B8-A4DB-783447F0ADAC}"/>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514" name="Text Box 11">
          <a:extLst>
            <a:ext uri="{FF2B5EF4-FFF2-40B4-BE49-F238E27FC236}">
              <a16:creationId xmlns="" xmlns:a16="http://schemas.microsoft.com/office/drawing/2014/main" id="{DDB664D9-2B7A-4833-833D-298F0C66B618}"/>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515" name="Text Box 12">
          <a:extLst>
            <a:ext uri="{FF2B5EF4-FFF2-40B4-BE49-F238E27FC236}">
              <a16:creationId xmlns="" xmlns:a16="http://schemas.microsoft.com/office/drawing/2014/main" id="{8FD37A36-83A5-4145-938E-C2641D9CE717}"/>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516" name="Text Box 10">
          <a:extLst>
            <a:ext uri="{FF2B5EF4-FFF2-40B4-BE49-F238E27FC236}">
              <a16:creationId xmlns="" xmlns:a16="http://schemas.microsoft.com/office/drawing/2014/main" id="{046436EE-757B-475A-845C-8ED3BFC81311}"/>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517" name="Text Box 11">
          <a:extLst>
            <a:ext uri="{FF2B5EF4-FFF2-40B4-BE49-F238E27FC236}">
              <a16:creationId xmlns="" xmlns:a16="http://schemas.microsoft.com/office/drawing/2014/main" id="{D1BC0E2B-260D-493E-920C-FD628698042B}"/>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518" name="Text Box 12">
          <a:extLst>
            <a:ext uri="{FF2B5EF4-FFF2-40B4-BE49-F238E27FC236}">
              <a16:creationId xmlns="" xmlns:a16="http://schemas.microsoft.com/office/drawing/2014/main" id="{D39999A6-1735-4584-AFB2-3741D4D89AE7}"/>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519" name="Text Box 10">
          <a:extLst>
            <a:ext uri="{FF2B5EF4-FFF2-40B4-BE49-F238E27FC236}">
              <a16:creationId xmlns="" xmlns:a16="http://schemas.microsoft.com/office/drawing/2014/main" id="{9879A4F3-422E-4EC9-928B-703A5D945BCD}"/>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520" name="Text Box 11">
          <a:extLst>
            <a:ext uri="{FF2B5EF4-FFF2-40B4-BE49-F238E27FC236}">
              <a16:creationId xmlns="" xmlns:a16="http://schemas.microsoft.com/office/drawing/2014/main" id="{2AF79EBE-D404-4160-9BDD-FFA97D052A84}"/>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521" name="Text Box 12">
          <a:extLst>
            <a:ext uri="{FF2B5EF4-FFF2-40B4-BE49-F238E27FC236}">
              <a16:creationId xmlns="" xmlns:a16="http://schemas.microsoft.com/office/drawing/2014/main" id="{60BC0CA4-DC9E-4BE3-9FE9-11490C729935}"/>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522" name="Text Box 10">
          <a:extLst>
            <a:ext uri="{FF2B5EF4-FFF2-40B4-BE49-F238E27FC236}">
              <a16:creationId xmlns="" xmlns:a16="http://schemas.microsoft.com/office/drawing/2014/main" id="{99E9DC18-DE02-408B-9206-E62A9166527A}"/>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523" name="Text Box 11">
          <a:extLst>
            <a:ext uri="{FF2B5EF4-FFF2-40B4-BE49-F238E27FC236}">
              <a16:creationId xmlns="" xmlns:a16="http://schemas.microsoft.com/office/drawing/2014/main" id="{9D4616A4-E09F-476A-9B5E-275D7836C380}"/>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524" name="Text Box 12">
          <a:extLst>
            <a:ext uri="{FF2B5EF4-FFF2-40B4-BE49-F238E27FC236}">
              <a16:creationId xmlns="" xmlns:a16="http://schemas.microsoft.com/office/drawing/2014/main" id="{DAC39E9B-60F5-448B-BAC9-CBD3364AD4CF}"/>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525" name="Text Box 10">
          <a:extLst>
            <a:ext uri="{FF2B5EF4-FFF2-40B4-BE49-F238E27FC236}">
              <a16:creationId xmlns="" xmlns:a16="http://schemas.microsoft.com/office/drawing/2014/main" id="{02863B76-DD84-4404-A407-F46D69F86B10}"/>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526" name="Text Box 11">
          <a:extLst>
            <a:ext uri="{FF2B5EF4-FFF2-40B4-BE49-F238E27FC236}">
              <a16:creationId xmlns="" xmlns:a16="http://schemas.microsoft.com/office/drawing/2014/main" id="{889A001A-8794-48AA-838F-3EA94F4E7A1C}"/>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527" name="Text Box 12">
          <a:extLst>
            <a:ext uri="{FF2B5EF4-FFF2-40B4-BE49-F238E27FC236}">
              <a16:creationId xmlns="" xmlns:a16="http://schemas.microsoft.com/office/drawing/2014/main" id="{1F684D5C-38BF-4875-99CE-69E0F64CE8E3}"/>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528" name="Text Box 10">
          <a:extLst>
            <a:ext uri="{FF2B5EF4-FFF2-40B4-BE49-F238E27FC236}">
              <a16:creationId xmlns="" xmlns:a16="http://schemas.microsoft.com/office/drawing/2014/main" id="{F438E498-ECAA-4B93-A9AA-F3FE4FBD5A79}"/>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529" name="Text Box 11">
          <a:extLst>
            <a:ext uri="{FF2B5EF4-FFF2-40B4-BE49-F238E27FC236}">
              <a16:creationId xmlns="" xmlns:a16="http://schemas.microsoft.com/office/drawing/2014/main" id="{35818C9A-B16F-4C32-BCCA-4E93EB28EBD8}"/>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530" name="Text Box 12">
          <a:extLst>
            <a:ext uri="{FF2B5EF4-FFF2-40B4-BE49-F238E27FC236}">
              <a16:creationId xmlns="" xmlns:a16="http://schemas.microsoft.com/office/drawing/2014/main" id="{B00AFC4C-09DD-4B6D-A63A-386E43216C97}"/>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531" name="Text Box 10">
          <a:extLst>
            <a:ext uri="{FF2B5EF4-FFF2-40B4-BE49-F238E27FC236}">
              <a16:creationId xmlns="" xmlns:a16="http://schemas.microsoft.com/office/drawing/2014/main" id="{A0031778-D839-4D4C-8120-CEE97FE9D51C}"/>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532" name="Text Box 11">
          <a:extLst>
            <a:ext uri="{FF2B5EF4-FFF2-40B4-BE49-F238E27FC236}">
              <a16:creationId xmlns="" xmlns:a16="http://schemas.microsoft.com/office/drawing/2014/main" id="{052C29C2-3DF4-413D-B78D-9772E5F24AF5}"/>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533" name="Text Box 12">
          <a:extLst>
            <a:ext uri="{FF2B5EF4-FFF2-40B4-BE49-F238E27FC236}">
              <a16:creationId xmlns="" xmlns:a16="http://schemas.microsoft.com/office/drawing/2014/main" id="{9915A3E0-1EE4-43E8-8BAB-2BEE75ADDF50}"/>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534" name="Text Box 10">
          <a:extLst>
            <a:ext uri="{FF2B5EF4-FFF2-40B4-BE49-F238E27FC236}">
              <a16:creationId xmlns="" xmlns:a16="http://schemas.microsoft.com/office/drawing/2014/main" id="{581DA6BE-1F0E-4B86-86BB-8930F34D3850}"/>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535" name="Text Box 11">
          <a:extLst>
            <a:ext uri="{FF2B5EF4-FFF2-40B4-BE49-F238E27FC236}">
              <a16:creationId xmlns="" xmlns:a16="http://schemas.microsoft.com/office/drawing/2014/main" id="{9F2C94AF-F5A3-4444-8A5D-245998E99858}"/>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536" name="Text Box 12">
          <a:extLst>
            <a:ext uri="{FF2B5EF4-FFF2-40B4-BE49-F238E27FC236}">
              <a16:creationId xmlns="" xmlns:a16="http://schemas.microsoft.com/office/drawing/2014/main" id="{DAB89CFB-F11C-4E86-9477-C4873B923D51}"/>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537" name="Text Box 10">
          <a:extLst>
            <a:ext uri="{FF2B5EF4-FFF2-40B4-BE49-F238E27FC236}">
              <a16:creationId xmlns="" xmlns:a16="http://schemas.microsoft.com/office/drawing/2014/main" id="{90B510DE-5842-4441-9885-FA90CAC9C2B7}"/>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538" name="Text Box 11">
          <a:extLst>
            <a:ext uri="{FF2B5EF4-FFF2-40B4-BE49-F238E27FC236}">
              <a16:creationId xmlns="" xmlns:a16="http://schemas.microsoft.com/office/drawing/2014/main" id="{8B2CE47F-6ED4-495E-AB8A-A07CD5ABCEF6}"/>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539" name="Text Box 12">
          <a:extLst>
            <a:ext uri="{FF2B5EF4-FFF2-40B4-BE49-F238E27FC236}">
              <a16:creationId xmlns="" xmlns:a16="http://schemas.microsoft.com/office/drawing/2014/main" id="{294188FB-3A50-4288-A198-6937FCED9CE8}"/>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540" name="Text Box 10">
          <a:extLst>
            <a:ext uri="{FF2B5EF4-FFF2-40B4-BE49-F238E27FC236}">
              <a16:creationId xmlns="" xmlns:a16="http://schemas.microsoft.com/office/drawing/2014/main" id="{474AD3D9-67B1-423B-9B80-C598823741E3}"/>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541" name="Text Box 11">
          <a:extLst>
            <a:ext uri="{FF2B5EF4-FFF2-40B4-BE49-F238E27FC236}">
              <a16:creationId xmlns="" xmlns:a16="http://schemas.microsoft.com/office/drawing/2014/main" id="{B125C614-1B2E-4BA5-A3BB-773E43BA0026}"/>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104775</xdr:colOff>
      <xdr:row>28</xdr:row>
      <xdr:rowOff>276488</xdr:rowOff>
    </xdr:to>
    <xdr:sp macro="" textlink="">
      <xdr:nvSpPr>
        <xdr:cNvPr id="1542" name="Text Box 12">
          <a:extLst>
            <a:ext uri="{FF2B5EF4-FFF2-40B4-BE49-F238E27FC236}">
              <a16:creationId xmlns="" xmlns:a16="http://schemas.microsoft.com/office/drawing/2014/main" id="{8032D2DB-86AC-4A46-B521-8F67D79969ED}"/>
            </a:ext>
          </a:extLst>
        </xdr:cNvPr>
        <xdr:cNvSpPr txBox="1">
          <a:spLocks noChangeArrowheads="1"/>
        </xdr:cNvSpPr>
      </xdr:nvSpPr>
      <xdr:spPr bwMode="auto">
        <a:xfrm>
          <a:off x="4314825" y="13896975"/>
          <a:ext cx="95250" cy="18004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85725</xdr:colOff>
      <xdr:row>28</xdr:row>
      <xdr:rowOff>42557</xdr:rowOff>
    </xdr:to>
    <xdr:sp macro="" textlink="">
      <xdr:nvSpPr>
        <xdr:cNvPr id="1543" name="Text Box 10">
          <a:extLst>
            <a:ext uri="{FF2B5EF4-FFF2-40B4-BE49-F238E27FC236}">
              <a16:creationId xmlns="" xmlns:a16="http://schemas.microsoft.com/office/drawing/2014/main" id="{A7BF142B-C253-49CB-8223-06C56E1FB8A2}"/>
            </a:ext>
          </a:extLst>
        </xdr:cNvPr>
        <xdr:cNvSpPr txBox="1">
          <a:spLocks noChangeArrowheads="1"/>
        </xdr:cNvSpPr>
      </xdr:nvSpPr>
      <xdr:spPr bwMode="auto">
        <a:xfrm>
          <a:off x="4314825" y="13896975"/>
          <a:ext cx="76200" cy="1566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85725</xdr:colOff>
      <xdr:row>28</xdr:row>
      <xdr:rowOff>42557</xdr:rowOff>
    </xdr:to>
    <xdr:sp macro="" textlink="">
      <xdr:nvSpPr>
        <xdr:cNvPr id="1544" name="Text Box 11">
          <a:extLst>
            <a:ext uri="{FF2B5EF4-FFF2-40B4-BE49-F238E27FC236}">
              <a16:creationId xmlns="" xmlns:a16="http://schemas.microsoft.com/office/drawing/2014/main" id="{EA389730-A548-4DED-A954-FCA895C8E5AC}"/>
            </a:ext>
          </a:extLst>
        </xdr:cNvPr>
        <xdr:cNvSpPr txBox="1">
          <a:spLocks noChangeArrowheads="1"/>
        </xdr:cNvSpPr>
      </xdr:nvSpPr>
      <xdr:spPr bwMode="auto">
        <a:xfrm>
          <a:off x="4314825" y="13896975"/>
          <a:ext cx="76200" cy="1566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85725</xdr:colOff>
      <xdr:row>28</xdr:row>
      <xdr:rowOff>42557</xdr:rowOff>
    </xdr:to>
    <xdr:sp macro="" textlink="">
      <xdr:nvSpPr>
        <xdr:cNvPr id="1545" name="Text Box 12">
          <a:extLst>
            <a:ext uri="{FF2B5EF4-FFF2-40B4-BE49-F238E27FC236}">
              <a16:creationId xmlns="" xmlns:a16="http://schemas.microsoft.com/office/drawing/2014/main" id="{B1C5E40C-A35B-4047-86F4-1BDD56B4DF57}"/>
            </a:ext>
          </a:extLst>
        </xdr:cNvPr>
        <xdr:cNvSpPr txBox="1">
          <a:spLocks noChangeArrowheads="1"/>
        </xdr:cNvSpPr>
      </xdr:nvSpPr>
      <xdr:spPr bwMode="auto">
        <a:xfrm>
          <a:off x="4314825" y="13896975"/>
          <a:ext cx="76200" cy="1566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85725</xdr:colOff>
      <xdr:row>28</xdr:row>
      <xdr:rowOff>42557</xdr:rowOff>
    </xdr:to>
    <xdr:sp macro="" textlink="">
      <xdr:nvSpPr>
        <xdr:cNvPr id="1546" name="Text Box 10">
          <a:extLst>
            <a:ext uri="{FF2B5EF4-FFF2-40B4-BE49-F238E27FC236}">
              <a16:creationId xmlns="" xmlns:a16="http://schemas.microsoft.com/office/drawing/2014/main" id="{E63E4BE5-E28C-4661-99CF-B7BB6A208400}"/>
            </a:ext>
          </a:extLst>
        </xdr:cNvPr>
        <xdr:cNvSpPr txBox="1">
          <a:spLocks noChangeArrowheads="1"/>
        </xdr:cNvSpPr>
      </xdr:nvSpPr>
      <xdr:spPr bwMode="auto">
        <a:xfrm>
          <a:off x="4314825" y="13896975"/>
          <a:ext cx="76200" cy="1566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85725</xdr:colOff>
      <xdr:row>28</xdr:row>
      <xdr:rowOff>42557</xdr:rowOff>
    </xdr:to>
    <xdr:sp macro="" textlink="">
      <xdr:nvSpPr>
        <xdr:cNvPr id="1547" name="Text Box 11">
          <a:extLst>
            <a:ext uri="{FF2B5EF4-FFF2-40B4-BE49-F238E27FC236}">
              <a16:creationId xmlns="" xmlns:a16="http://schemas.microsoft.com/office/drawing/2014/main" id="{5BA527FF-10F6-4D62-BEB4-83C091A3426A}"/>
            </a:ext>
          </a:extLst>
        </xdr:cNvPr>
        <xdr:cNvSpPr txBox="1">
          <a:spLocks noChangeArrowheads="1"/>
        </xdr:cNvSpPr>
      </xdr:nvSpPr>
      <xdr:spPr bwMode="auto">
        <a:xfrm>
          <a:off x="4314825" y="13896975"/>
          <a:ext cx="76200" cy="1566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85725</xdr:colOff>
      <xdr:row>28</xdr:row>
      <xdr:rowOff>42557</xdr:rowOff>
    </xdr:to>
    <xdr:sp macro="" textlink="">
      <xdr:nvSpPr>
        <xdr:cNvPr id="1548" name="Text Box 12">
          <a:extLst>
            <a:ext uri="{FF2B5EF4-FFF2-40B4-BE49-F238E27FC236}">
              <a16:creationId xmlns="" xmlns:a16="http://schemas.microsoft.com/office/drawing/2014/main" id="{8B16E8A1-0D35-40C8-B6EE-F5D34556967F}"/>
            </a:ext>
          </a:extLst>
        </xdr:cNvPr>
        <xdr:cNvSpPr txBox="1">
          <a:spLocks noChangeArrowheads="1"/>
        </xdr:cNvSpPr>
      </xdr:nvSpPr>
      <xdr:spPr bwMode="auto">
        <a:xfrm>
          <a:off x="4314825" y="13896975"/>
          <a:ext cx="76200" cy="1566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85725</xdr:colOff>
      <xdr:row>28</xdr:row>
      <xdr:rowOff>42557</xdr:rowOff>
    </xdr:to>
    <xdr:sp macro="" textlink="">
      <xdr:nvSpPr>
        <xdr:cNvPr id="1549" name="Text Box 10">
          <a:extLst>
            <a:ext uri="{FF2B5EF4-FFF2-40B4-BE49-F238E27FC236}">
              <a16:creationId xmlns="" xmlns:a16="http://schemas.microsoft.com/office/drawing/2014/main" id="{382471B6-ACAA-4AAF-8BC7-6C66457F8CD1}"/>
            </a:ext>
          </a:extLst>
        </xdr:cNvPr>
        <xdr:cNvSpPr txBox="1">
          <a:spLocks noChangeArrowheads="1"/>
        </xdr:cNvSpPr>
      </xdr:nvSpPr>
      <xdr:spPr bwMode="auto">
        <a:xfrm>
          <a:off x="4314825" y="13896975"/>
          <a:ext cx="76200" cy="1566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85725</xdr:colOff>
      <xdr:row>28</xdr:row>
      <xdr:rowOff>42557</xdr:rowOff>
    </xdr:to>
    <xdr:sp macro="" textlink="">
      <xdr:nvSpPr>
        <xdr:cNvPr id="1550" name="Text Box 11">
          <a:extLst>
            <a:ext uri="{FF2B5EF4-FFF2-40B4-BE49-F238E27FC236}">
              <a16:creationId xmlns="" xmlns:a16="http://schemas.microsoft.com/office/drawing/2014/main" id="{ABA2934B-8888-4827-91FF-8BC627F4EBAB}"/>
            </a:ext>
          </a:extLst>
        </xdr:cNvPr>
        <xdr:cNvSpPr txBox="1">
          <a:spLocks noChangeArrowheads="1"/>
        </xdr:cNvSpPr>
      </xdr:nvSpPr>
      <xdr:spPr bwMode="auto">
        <a:xfrm>
          <a:off x="4314825" y="13896975"/>
          <a:ext cx="76200" cy="1566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85725</xdr:colOff>
      <xdr:row>28</xdr:row>
      <xdr:rowOff>42557</xdr:rowOff>
    </xdr:to>
    <xdr:sp macro="" textlink="">
      <xdr:nvSpPr>
        <xdr:cNvPr id="1551" name="Text Box 12">
          <a:extLst>
            <a:ext uri="{FF2B5EF4-FFF2-40B4-BE49-F238E27FC236}">
              <a16:creationId xmlns="" xmlns:a16="http://schemas.microsoft.com/office/drawing/2014/main" id="{E2689FEA-5EE2-48EF-8964-7F26D32B6848}"/>
            </a:ext>
          </a:extLst>
        </xdr:cNvPr>
        <xdr:cNvSpPr txBox="1">
          <a:spLocks noChangeArrowheads="1"/>
        </xdr:cNvSpPr>
      </xdr:nvSpPr>
      <xdr:spPr bwMode="auto">
        <a:xfrm>
          <a:off x="4314825" y="13896975"/>
          <a:ext cx="76200" cy="1566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85725</xdr:colOff>
      <xdr:row>28</xdr:row>
      <xdr:rowOff>42557</xdr:rowOff>
    </xdr:to>
    <xdr:sp macro="" textlink="">
      <xdr:nvSpPr>
        <xdr:cNvPr id="1552" name="Text Box 10">
          <a:extLst>
            <a:ext uri="{FF2B5EF4-FFF2-40B4-BE49-F238E27FC236}">
              <a16:creationId xmlns="" xmlns:a16="http://schemas.microsoft.com/office/drawing/2014/main" id="{B992DC8B-22D5-499D-8211-29DA2351D3C4}"/>
            </a:ext>
          </a:extLst>
        </xdr:cNvPr>
        <xdr:cNvSpPr txBox="1">
          <a:spLocks noChangeArrowheads="1"/>
        </xdr:cNvSpPr>
      </xdr:nvSpPr>
      <xdr:spPr bwMode="auto">
        <a:xfrm>
          <a:off x="4314825" y="13896975"/>
          <a:ext cx="76200" cy="1566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85725</xdr:colOff>
      <xdr:row>28</xdr:row>
      <xdr:rowOff>42557</xdr:rowOff>
    </xdr:to>
    <xdr:sp macro="" textlink="">
      <xdr:nvSpPr>
        <xdr:cNvPr id="1553" name="Text Box 11">
          <a:extLst>
            <a:ext uri="{FF2B5EF4-FFF2-40B4-BE49-F238E27FC236}">
              <a16:creationId xmlns="" xmlns:a16="http://schemas.microsoft.com/office/drawing/2014/main" id="{D93D35EF-6EE2-4711-9D99-151F5407CD12}"/>
            </a:ext>
          </a:extLst>
        </xdr:cNvPr>
        <xdr:cNvSpPr txBox="1">
          <a:spLocks noChangeArrowheads="1"/>
        </xdr:cNvSpPr>
      </xdr:nvSpPr>
      <xdr:spPr bwMode="auto">
        <a:xfrm>
          <a:off x="4314825" y="13896975"/>
          <a:ext cx="76200" cy="1566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85725</xdr:colOff>
      <xdr:row>28</xdr:row>
      <xdr:rowOff>42557</xdr:rowOff>
    </xdr:to>
    <xdr:sp macro="" textlink="">
      <xdr:nvSpPr>
        <xdr:cNvPr id="1554" name="Text Box 12">
          <a:extLst>
            <a:ext uri="{FF2B5EF4-FFF2-40B4-BE49-F238E27FC236}">
              <a16:creationId xmlns="" xmlns:a16="http://schemas.microsoft.com/office/drawing/2014/main" id="{52C50628-48E1-4CA8-B994-B3F6F9640DFE}"/>
            </a:ext>
          </a:extLst>
        </xdr:cNvPr>
        <xdr:cNvSpPr txBox="1">
          <a:spLocks noChangeArrowheads="1"/>
        </xdr:cNvSpPr>
      </xdr:nvSpPr>
      <xdr:spPr bwMode="auto">
        <a:xfrm>
          <a:off x="4314825" y="13896975"/>
          <a:ext cx="76200" cy="1566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85725</xdr:colOff>
      <xdr:row>28</xdr:row>
      <xdr:rowOff>42557</xdr:rowOff>
    </xdr:to>
    <xdr:sp macro="" textlink="">
      <xdr:nvSpPr>
        <xdr:cNvPr id="1555" name="Text Box 10">
          <a:extLst>
            <a:ext uri="{FF2B5EF4-FFF2-40B4-BE49-F238E27FC236}">
              <a16:creationId xmlns="" xmlns:a16="http://schemas.microsoft.com/office/drawing/2014/main" id="{60C10ECB-9B59-4757-B8D5-1BB7E2635448}"/>
            </a:ext>
          </a:extLst>
        </xdr:cNvPr>
        <xdr:cNvSpPr txBox="1">
          <a:spLocks noChangeArrowheads="1"/>
        </xdr:cNvSpPr>
      </xdr:nvSpPr>
      <xdr:spPr bwMode="auto">
        <a:xfrm>
          <a:off x="4314825" y="13896975"/>
          <a:ext cx="76200" cy="1566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85725</xdr:colOff>
      <xdr:row>28</xdr:row>
      <xdr:rowOff>42557</xdr:rowOff>
    </xdr:to>
    <xdr:sp macro="" textlink="">
      <xdr:nvSpPr>
        <xdr:cNvPr id="1556" name="Text Box 11">
          <a:extLst>
            <a:ext uri="{FF2B5EF4-FFF2-40B4-BE49-F238E27FC236}">
              <a16:creationId xmlns="" xmlns:a16="http://schemas.microsoft.com/office/drawing/2014/main" id="{E8F0A45E-03B3-49F8-BD63-D921AB48A9D7}"/>
            </a:ext>
          </a:extLst>
        </xdr:cNvPr>
        <xdr:cNvSpPr txBox="1">
          <a:spLocks noChangeArrowheads="1"/>
        </xdr:cNvSpPr>
      </xdr:nvSpPr>
      <xdr:spPr bwMode="auto">
        <a:xfrm>
          <a:off x="4314825" y="13896975"/>
          <a:ext cx="76200" cy="1566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85725</xdr:colOff>
      <xdr:row>28</xdr:row>
      <xdr:rowOff>42557</xdr:rowOff>
    </xdr:to>
    <xdr:sp macro="" textlink="">
      <xdr:nvSpPr>
        <xdr:cNvPr id="1557" name="Text Box 12">
          <a:extLst>
            <a:ext uri="{FF2B5EF4-FFF2-40B4-BE49-F238E27FC236}">
              <a16:creationId xmlns="" xmlns:a16="http://schemas.microsoft.com/office/drawing/2014/main" id="{EBAD6C80-4A18-4C54-9818-6295C4E6C255}"/>
            </a:ext>
          </a:extLst>
        </xdr:cNvPr>
        <xdr:cNvSpPr txBox="1">
          <a:spLocks noChangeArrowheads="1"/>
        </xdr:cNvSpPr>
      </xdr:nvSpPr>
      <xdr:spPr bwMode="auto">
        <a:xfrm>
          <a:off x="4314825" y="13896975"/>
          <a:ext cx="76200" cy="1566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85725</xdr:colOff>
      <xdr:row>28</xdr:row>
      <xdr:rowOff>42557</xdr:rowOff>
    </xdr:to>
    <xdr:sp macro="" textlink="">
      <xdr:nvSpPr>
        <xdr:cNvPr id="1558" name="Text Box 10">
          <a:extLst>
            <a:ext uri="{FF2B5EF4-FFF2-40B4-BE49-F238E27FC236}">
              <a16:creationId xmlns="" xmlns:a16="http://schemas.microsoft.com/office/drawing/2014/main" id="{D061D9AE-939C-4E72-872D-DB615E37BBA2}"/>
            </a:ext>
          </a:extLst>
        </xdr:cNvPr>
        <xdr:cNvSpPr txBox="1">
          <a:spLocks noChangeArrowheads="1"/>
        </xdr:cNvSpPr>
      </xdr:nvSpPr>
      <xdr:spPr bwMode="auto">
        <a:xfrm>
          <a:off x="4314825" y="13896975"/>
          <a:ext cx="76200" cy="1566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85725</xdr:colOff>
      <xdr:row>28</xdr:row>
      <xdr:rowOff>42557</xdr:rowOff>
    </xdr:to>
    <xdr:sp macro="" textlink="">
      <xdr:nvSpPr>
        <xdr:cNvPr id="1559" name="Text Box 11">
          <a:extLst>
            <a:ext uri="{FF2B5EF4-FFF2-40B4-BE49-F238E27FC236}">
              <a16:creationId xmlns="" xmlns:a16="http://schemas.microsoft.com/office/drawing/2014/main" id="{55651F11-89B7-47A3-B30E-7FD125E44B42}"/>
            </a:ext>
          </a:extLst>
        </xdr:cNvPr>
        <xdr:cNvSpPr txBox="1">
          <a:spLocks noChangeArrowheads="1"/>
        </xdr:cNvSpPr>
      </xdr:nvSpPr>
      <xdr:spPr bwMode="auto">
        <a:xfrm>
          <a:off x="4314825" y="13896975"/>
          <a:ext cx="76200" cy="1566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85725</xdr:colOff>
      <xdr:row>28</xdr:row>
      <xdr:rowOff>42557</xdr:rowOff>
    </xdr:to>
    <xdr:sp macro="" textlink="">
      <xdr:nvSpPr>
        <xdr:cNvPr id="1560" name="Text Box 12">
          <a:extLst>
            <a:ext uri="{FF2B5EF4-FFF2-40B4-BE49-F238E27FC236}">
              <a16:creationId xmlns="" xmlns:a16="http://schemas.microsoft.com/office/drawing/2014/main" id="{C793DA03-CF3F-4ECC-8D4D-FF284BCB516C}"/>
            </a:ext>
          </a:extLst>
        </xdr:cNvPr>
        <xdr:cNvSpPr txBox="1">
          <a:spLocks noChangeArrowheads="1"/>
        </xdr:cNvSpPr>
      </xdr:nvSpPr>
      <xdr:spPr bwMode="auto">
        <a:xfrm>
          <a:off x="4314825" y="13896975"/>
          <a:ext cx="76200" cy="1566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85725</xdr:colOff>
      <xdr:row>28</xdr:row>
      <xdr:rowOff>42557</xdr:rowOff>
    </xdr:to>
    <xdr:sp macro="" textlink="">
      <xdr:nvSpPr>
        <xdr:cNvPr id="1561" name="Text Box 10">
          <a:extLst>
            <a:ext uri="{FF2B5EF4-FFF2-40B4-BE49-F238E27FC236}">
              <a16:creationId xmlns="" xmlns:a16="http://schemas.microsoft.com/office/drawing/2014/main" id="{1B3FCADB-D8C0-4F4E-AE3A-0AA087C071BA}"/>
            </a:ext>
          </a:extLst>
        </xdr:cNvPr>
        <xdr:cNvSpPr txBox="1">
          <a:spLocks noChangeArrowheads="1"/>
        </xdr:cNvSpPr>
      </xdr:nvSpPr>
      <xdr:spPr bwMode="auto">
        <a:xfrm>
          <a:off x="4314825" y="13896975"/>
          <a:ext cx="76200" cy="1566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85725</xdr:colOff>
      <xdr:row>28</xdr:row>
      <xdr:rowOff>42557</xdr:rowOff>
    </xdr:to>
    <xdr:sp macro="" textlink="">
      <xdr:nvSpPr>
        <xdr:cNvPr id="1562" name="Text Box 11">
          <a:extLst>
            <a:ext uri="{FF2B5EF4-FFF2-40B4-BE49-F238E27FC236}">
              <a16:creationId xmlns="" xmlns:a16="http://schemas.microsoft.com/office/drawing/2014/main" id="{E236DE0E-E370-4176-9BD1-30471B7D08BF}"/>
            </a:ext>
          </a:extLst>
        </xdr:cNvPr>
        <xdr:cNvSpPr txBox="1">
          <a:spLocks noChangeArrowheads="1"/>
        </xdr:cNvSpPr>
      </xdr:nvSpPr>
      <xdr:spPr bwMode="auto">
        <a:xfrm>
          <a:off x="4314825" y="13896975"/>
          <a:ext cx="76200" cy="1566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85725</xdr:colOff>
      <xdr:row>28</xdr:row>
      <xdr:rowOff>42557</xdr:rowOff>
    </xdr:to>
    <xdr:sp macro="" textlink="">
      <xdr:nvSpPr>
        <xdr:cNvPr id="1563" name="Text Box 12">
          <a:extLst>
            <a:ext uri="{FF2B5EF4-FFF2-40B4-BE49-F238E27FC236}">
              <a16:creationId xmlns="" xmlns:a16="http://schemas.microsoft.com/office/drawing/2014/main" id="{B9F099F5-3C2C-413B-A4A1-3B51249C4666}"/>
            </a:ext>
          </a:extLst>
        </xdr:cNvPr>
        <xdr:cNvSpPr txBox="1">
          <a:spLocks noChangeArrowheads="1"/>
        </xdr:cNvSpPr>
      </xdr:nvSpPr>
      <xdr:spPr bwMode="auto">
        <a:xfrm>
          <a:off x="4314825" y="13896975"/>
          <a:ext cx="76200" cy="1566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85725</xdr:colOff>
      <xdr:row>28</xdr:row>
      <xdr:rowOff>42557</xdr:rowOff>
    </xdr:to>
    <xdr:sp macro="" textlink="">
      <xdr:nvSpPr>
        <xdr:cNvPr id="1564" name="Text Box 10">
          <a:extLst>
            <a:ext uri="{FF2B5EF4-FFF2-40B4-BE49-F238E27FC236}">
              <a16:creationId xmlns="" xmlns:a16="http://schemas.microsoft.com/office/drawing/2014/main" id="{12C793F8-1C7F-48BF-805C-AB2A98570102}"/>
            </a:ext>
          </a:extLst>
        </xdr:cNvPr>
        <xdr:cNvSpPr txBox="1">
          <a:spLocks noChangeArrowheads="1"/>
        </xdr:cNvSpPr>
      </xdr:nvSpPr>
      <xdr:spPr bwMode="auto">
        <a:xfrm>
          <a:off x="4314825" y="13896975"/>
          <a:ext cx="76200" cy="1566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85725</xdr:colOff>
      <xdr:row>28</xdr:row>
      <xdr:rowOff>42557</xdr:rowOff>
    </xdr:to>
    <xdr:sp macro="" textlink="">
      <xdr:nvSpPr>
        <xdr:cNvPr id="1565" name="Text Box 11">
          <a:extLst>
            <a:ext uri="{FF2B5EF4-FFF2-40B4-BE49-F238E27FC236}">
              <a16:creationId xmlns="" xmlns:a16="http://schemas.microsoft.com/office/drawing/2014/main" id="{EBF7D21A-A499-4566-9FDC-279D19558A2A}"/>
            </a:ext>
          </a:extLst>
        </xdr:cNvPr>
        <xdr:cNvSpPr txBox="1">
          <a:spLocks noChangeArrowheads="1"/>
        </xdr:cNvSpPr>
      </xdr:nvSpPr>
      <xdr:spPr bwMode="auto">
        <a:xfrm>
          <a:off x="4314825" y="13896975"/>
          <a:ext cx="76200" cy="1566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25</xdr:row>
      <xdr:rowOff>0</xdr:rowOff>
    </xdr:from>
    <xdr:to>
      <xdr:col>2</xdr:col>
      <xdr:colOff>85725</xdr:colOff>
      <xdr:row>28</xdr:row>
      <xdr:rowOff>42557</xdr:rowOff>
    </xdr:to>
    <xdr:sp macro="" textlink="">
      <xdr:nvSpPr>
        <xdr:cNvPr id="1566" name="Text Box 12">
          <a:extLst>
            <a:ext uri="{FF2B5EF4-FFF2-40B4-BE49-F238E27FC236}">
              <a16:creationId xmlns="" xmlns:a16="http://schemas.microsoft.com/office/drawing/2014/main" id="{776E4FD2-C22B-47CD-8FF9-607E4A27F049}"/>
            </a:ext>
          </a:extLst>
        </xdr:cNvPr>
        <xdr:cNvSpPr txBox="1">
          <a:spLocks noChangeArrowheads="1"/>
        </xdr:cNvSpPr>
      </xdr:nvSpPr>
      <xdr:spPr bwMode="auto">
        <a:xfrm>
          <a:off x="4314825" y="13896975"/>
          <a:ext cx="76200" cy="15665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9525</xdr:colOff>
      <xdr:row>12</xdr:row>
      <xdr:rowOff>0</xdr:rowOff>
    </xdr:from>
    <xdr:to>
      <xdr:col>2</xdr:col>
      <xdr:colOff>104775</xdr:colOff>
      <xdr:row>17</xdr:row>
      <xdr:rowOff>310497</xdr:rowOff>
    </xdr:to>
    <xdr:sp macro="" textlink="">
      <xdr:nvSpPr>
        <xdr:cNvPr id="2" name="Text Box 10">
          <a:extLst>
            <a:ext uri="{FF2B5EF4-FFF2-40B4-BE49-F238E27FC236}">
              <a16:creationId xmlns="" xmlns:a16="http://schemas.microsoft.com/office/drawing/2014/main" id="{2D6AE8A7-2137-42DA-87D8-F270731FC116}"/>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3" name="Text Box 11">
          <a:extLst>
            <a:ext uri="{FF2B5EF4-FFF2-40B4-BE49-F238E27FC236}">
              <a16:creationId xmlns="" xmlns:a16="http://schemas.microsoft.com/office/drawing/2014/main" id="{E25EE5B3-0094-4D3C-8E5F-6314AACEC9FB}"/>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4" name="Text Box 12">
          <a:extLst>
            <a:ext uri="{FF2B5EF4-FFF2-40B4-BE49-F238E27FC236}">
              <a16:creationId xmlns="" xmlns:a16="http://schemas.microsoft.com/office/drawing/2014/main" id="{40AB9ED3-BE6A-4F25-85E9-71A2D56F360F}"/>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5" name="Text Box 10">
          <a:extLst>
            <a:ext uri="{FF2B5EF4-FFF2-40B4-BE49-F238E27FC236}">
              <a16:creationId xmlns="" xmlns:a16="http://schemas.microsoft.com/office/drawing/2014/main" id="{51A4B7BF-A3DA-4F87-8EAF-BD92443912F7}"/>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6" name="Text Box 11">
          <a:extLst>
            <a:ext uri="{FF2B5EF4-FFF2-40B4-BE49-F238E27FC236}">
              <a16:creationId xmlns="" xmlns:a16="http://schemas.microsoft.com/office/drawing/2014/main" id="{7F0CBA80-31F8-4F77-8B0E-D094C4E81344}"/>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7" name="Text Box 12">
          <a:extLst>
            <a:ext uri="{FF2B5EF4-FFF2-40B4-BE49-F238E27FC236}">
              <a16:creationId xmlns="" xmlns:a16="http://schemas.microsoft.com/office/drawing/2014/main" id="{6D35C99F-C276-4CE8-93A9-1EDF1894A7F2}"/>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8" name="Text Box 10">
          <a:extLst>
            <a:ext uri="{FF2B5EF4-FFF2-40B4-BE49-F238E27FC236}">
              <a16:creationId xmlns="" xmlns:a16="http://schemas.microsoft.com/office/drawing/2014/main" id="{238F63E7-256B-4101-BE9A-0AAA3F9F4EC4}"/>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9" name="Text Box 11">
          <a:extLst>
            <a:ext uri="{FF2B5EF4-FFF2-40B4-BE49-F238E27FC236}">
              <a16:creationId xmlns="" xmlns:a16="http://schemas.microsoft.com/office/drawing/2014/main" id="{5A174131-3950-43A8-9D85-94B596614781}"/>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10" name="Text Box 12">
          <a:extLst>
            <a:ext uri="{FF2B5EF4-FFF2-40B4-BE49-F238E27FC236}">
              <a16:creationId xmlns="" xmlns:a16="http://schemas.microsoft.com/office/drawing/2014/main" id="{0570EF78-3A4B-4287-A7C4-0A8FB855CCF3}"/>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11" name="Text Box 10">
          <a:extLst>
            <a:ext uri="{FF2B5EF4-FFF2-40B4-BE49-F238E27FC236}">
              <a16:creationId xmlns="" xmlns:a16="http://schemas.microsoft.com/office/drawing/2014/main" id="{0FD55097-A4C9-436B-BDE7-CD2517DD11CF}"/>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12" name="Text Box 11">
          <a:extLst>
            <a:ext uri="{FF2B5EF4-FFF2-40B4-BE49-F238E27FC236}">
              <a16:creationId xmlns="" xmlns:a16="http://schemas.microsoft.com/office/drawing/2014/main" id="{CE14C65D-63CC-4F67-90FF-1427620E1415}"/>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13" name="Text Box 12">
          <a:extLst>
            <a:ext uri="{FF2B5EF4-FFF2-40B4-BE49-F238E27FC236}">
              <a16:creationId xmlns="" xmlns:a16="http://schemas.microsoft.com/office/drawing/2014/main" id="{3B13D00E-8383-4D2E-AF90-F68EFC529872}"/>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14" name="Text Box 10">
          <a:extLst>
            <a:ext uri="{FF2B5EF4-FFF2-40B4-BE49-F238E27FC236}">
              <a16:creationId xmlns="" xmlns:a16="http://schemas.microsoft.com/office/drawing/2014/main" id="{2BAB349D-0B81-4FED-A6ED-68D61A58A265}"/>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15" name="Text Box 11">
          <a:extLst>
            <a:ext uri="{FF2B5EF4-FFF2-40B4-BE49-F238E27FC236}">
              <a16:creationId xmlns="" xmlns:a16="http://schemas.microsoft.com/office/drawing/2014/main" id="{20EF1794-95B0-40FA-AA43-D68E67C322B5}"/>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16" name="Text Box 12">
          <a:extLst>
            <a:ext uri="{FF2B5EF4-FFF2-40B4-BE49-F238E27FC236}">
              <a16:creationId xmlns="" xmlns:a16="http://schemas.microsoft.com/office/drawing/2014/main" id="{8193613D-A76C-4ACD-A572-84893DDACFCA}"/>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17" name="Text Box 10">
          <a:extLst>
            <a:ext uri="{FF2B5EF4-FFF2-40B4-BE49-F238E27FC236}">
              <a16:creationId xmlns="" xmlns:a16="http://schemas.microsoft.com/office/drawing/2014/main" id="{0BD7460D-BC20-4678-9B4D-FE838F162CEA}"/>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18" name="Text Box 11">
          <a:extLst>
            <a:ext uri="{FF2B5EF4-FFF2-40B4-BE49-F238E27FC236}">
              <a16:creationId xmlns="" xmlns:a16="http://schemas.microsoft.com/office/drawing/2014/main" id="{CFCABFE7-FB04-4B23-91FC-6D26EFAF9359}"/>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19" name="Text Box 12">
          <a:extLst>
            <a:ext uri="{FF2B5EF4-FFF2-40B4-BE49-F238E27FC236}">
              <a16:creationId xmlns="" xmlns:a16="http://schemas.microsoft.com/office/drawing/2014/main" id="{4D100CC2-A2AC-4497-8202-FFCC15822E5A}"/>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20" name="Text Box 10">
          <a:extLst>
            <a:ext uri="{FF2B5EF4-FFF2-40B4-BE49-F238E27FC236}">
              <a16:creationId xmlns="" xmlns:a16="http://schemas.microsoft.com/office/drawing/2014/main" id="{0EB8710A-4E02-4070-99C4-E7B7F098C7D5}"/>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21" name="Text Box 11">
          <a:extLst>
            <a:ext uri="{FF2B5EF4-FFF2-40B4-BE49-F238E27FC236}">
              <a16:creationId xmlns="" xmlns:a16="http://schemas.microsoft.com/office/drawing/2014/main" id="{931B0B4B-2F8A-41CC-93A6-6244B91E0120}"/>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22" name="Text Box 12">
          <a:extLst>
            <a:ext uri="{FF2B5EF4-FFF2-40B4-BE49-F238E27FC236}">
              <a16:creationId xmlns="" xmlns:a16="http://schemas.microsoft.com/office/drawing/2014/main" id="{E4FA2DA3-6420-4B3E-811E-036B986FBBF6}"/>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23" name="Text Box 10">
          <a:extLst>
            <a:ext uri="{FF2B5EF4-FFF2-40B4-BE49-F238E27FC236}">
              <a16:creationId xmlns="" xmlns:a16="http://schemas.microsoft.com/office/drawing/2014/main" id="{F7101FA4-AAD5-4753-99D2-61D16F087351}"/>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24" name="Text Box 11">
          <a:extLst>
            <a:ext uri="{FF2B5EF4-FFF2-40B4-BE49-F238E27FC236}">
              <a16:creationId xmlns="" xmlns:a16="http://schemas.microsoft.com/office/drawing/2014/main" id="{C0A4202C-9CE1-4713-A876-CE4DDDC2838B}"/>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25" name="Text Box 12">
          <a:extLst>
            <a:ext uri="{FF2B5EF4-FFF2-40B4-BE49-F238E27FC236}">
              <a16:creationId xmlns="" xmlns:a16="http://schemas.microsoft.com/office/drawing/2014/main" id="{A35E334C-E99B-4527-9754-278ABCB6E376}"/>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26" name="Text Box 10">
          <a:extLst>
            <a:ext uri="{FF2B5EF4-FFF2-40B4-BE49-F238E27FC236}">
              <a16:creationId xmlns="" xmlns:a16="http://schemas.microsoft.com/office/drawing/2014/main" id="{CEDDF54C-D132-4691-9C68-4DFCDA11807A}"/>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27" name="Text Box 11">
          <a:extLst>
            <a:ext uri="{FF2B5EF4-FFF2-40B4-BE49-F238E27FC236}">
              <a16:creationId xmlns="" xmlns:a16="http://schemas.microsoft.com/office/drawing/2014/main" id="{76DEED5E-94D6-4C49-AC22-6DE9DB4DE87C}"/>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28" name="Text Box 12">
          <a:extLst>
            <a:ext uri="{FF2B5EF4-FFF2-40B4-BE49-F238E27FC236}">
              <a16:creationId xmlns="" xmlns:a16="http://schemas.microsoft.com/office/drawing/2014/main" id="{C69C79EF-0439-4B24-B901-6EA3E795650B}"/>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29" name="Text Box 10">
          <a:extLst>
            <a:ext uri="{FF2B5EF4-FFF2-40B4-BE49-F238E27FC236}">
              <a16:creationId xmlns="" xmlns:a16="http://schemas.microsoft.com/office/drawing/2014/main" id="{A699AF16-F2EA-4376-99A4-B9501133AA1A}"/>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30" name="Text Box 11">
          <a:extLst>
            <a:ext uri="{FF2B5EF4-FFF2-40B4-BE49-F238E27FC236}">
              <a16:creationId xmlns="" xmlns:a16="http://schemas.microsoft.com/office/drawing/2014/main" id="{FE1AE1A5-5702-4ED2-9CA8-80E44E54BFC2}"/>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31" name="Text Box 12">
          <a:extLst>
            <a:ext uri="{FF2B5EF4-FFF2-40B4-BE49-F238E27FC236}">
              <a16:creationId xmlns="" xmlns:a16="http://schemas.microsoft.com/office/drawing/2014/main" id="{F60C3CEC-64A2-4471-8184-5CE5DE31C3DF}"/>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32" name="Text Box 10">
          <a:extLst>
            <a:ext uri="{FF2B5EF4-FFF2-40B4-BE49-F238E27FC236}">
              <a16:creationId xmlns="" xmlns:a16="http://schemas.microsoft.com/office/drawing/2014/main" id="{3FC658DC-EE68-43FB-9D7F-3ED71ECE5B04}"/>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33" name="Text Box 11">
          <a:extLst>
            <a:ext uri="{FF2B5EF4-FFF2-40B4-BE49-F238E27FC236}">
              <a16:creationId xmlns="" xmlns:a16="http://schemas.microsoft.com/office/drawing/2014/main" id="{A01527D6-327C-4777-AD23-EE4CB3E0F46F}"/>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34" name="Text Box 12">
          <a:extLst>
            <a:ext uri="{FF2B5EF4-FFF2-40B4-BE49-F238E27FC236}">
              <a16:creationId xmlns="" xmlns:a16="http://schemas.microsoft.com/office/drawing/2014/main" id="{23F2C8FC-6719-463E-9E0E-265BB95F429D}"/>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35" name="Text Box 10">
          <a:extLst>
            <a:ext uri="{FF2B5EF4-FFF2-40B4-BE49-F238E27FC236}">
              <a16:creationId xmlns="" xmlns:a16="http://schemas.microsoft.com/office/drawing/2014/main" id="{F8FDA307-63E5-40F4-84ED-BCE90FB29D9B}"/>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36" name="Text Box 11">
          <a:extLst>
            <a:ext uri="{FF2B5EF4-FFF2-40B4-BE49-F238E27FC236}">
              <a16:creationId xmlns="" xmlns:a16="http://schemas.microsoft.com/office/drawing/2014/main" id="{6FCFD4E3-E132-4C78-B39A-F8438675B143}"/>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37" name="Text Box 12">
          <a:extLst>
            <a:ext uri="{FF2B5EF4-FFF2-40B4-BE49-F238E27FC236}">
              <a16:creationId xmlns="" xmlns:a16="http://schemas.microsoft.com/office/drawing/2014/main" id="{052F00E4-70BC-4F86-9AEE-977FA5837F5A}"/>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38" name="Text Box 10">
          <a:extLst>
            <a:ext uri="{FF2B5EF4-FFF2-40B4-BE49-F238E27FC236}">
              <a16:creationId xmlns="" xmlns:a16="http://schemas.microsoft.com/office/drawing/2014/main" id="{3269F948-7A98-4EBA-89C9-AFA62BDAE326}"/>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39" name="Text Box 11">
          <a:extLst>
            <a:ext uri="{FF2B5EF4-FFF2-40B4-BE49-F238E27FC236}">
              <a16:creationId xmlns="" xmlns:a16="http://schemas.microsoft.com/office/drawing/2014/main" id="{3D88053B-5E82-48E3-B1BA-D2D316B8F627}"/>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40" name="Text Box 12">
          <a:extLst>
            <a:ext uri="{FF2B5EF4-FFF2-40B4-BE49-F238E27FC236}">
              <a16:creationId xmlns="" xmlns:a16="http://schemas.microsoft.com/office/drawing/2014/main" id="{C0D28E77-E071-4802-88F8-9C65B48523B7}"/>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41" name="Text Box 10">
          <a:extLst>
            <a:ext uri="{FF2B5EF4-FFF2-40B4-BE49-F238E27FC236}">
              <a16:creationId xmlns="" xmlns:a16="http://schemas.microsoft.com/office/drawing/2014/main" id="{661C4A98-1097-403B-B2F0-5D5532E0335F}"/>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42" name="Text Box 11">
          <a:extLst>
            <a:ext uri="{FF2B5EF4-FFF2-40B4-BE49-F238E27FC236}">
              <a16:creationId xmlns="" xmlns:a16="http://schemas.microsoft.com/office/drawing/2014/main" id="{8E9BE2BB-C576-4560-B347-5AAF99CFB679}"/>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43" name="Text Box 12">
          <a:extLst>
            <a:ext uri="{FF2B5EF4-FFF2-40B4-BE49-F238E27FC236}">
              <a16:creationId xmlns="" xmlns:a16="http://schemas.microsoft.com/office/drawing/2014/main" id="{C12F7852-96F3-454F-89E5-862C4C2A61DD}"/>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44" name="Text Box 10">
          <a:extLst>
            <a:ext uri="{FF2B5EF4-FFF2-40B4-BE49-F238E27FC236}">
              <a16:creationId xmlns="" xmlns:a16="http://schemas.microsoft.com/office/drawing/2014/main" id="{8BCE3C32-78F4-4471-895F-14692DDDC873}"/>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45" name="Text Box 11">
          <a:extLst>
            <a:ext uri="{FF2B5EF4-FFF2-40B4-BE49-F238E27FC236}">
              <a16:creationId xmlns="" xmlns:a16="http://schemas.microsoft.com/office/drawing/2014/main" id="{C4EE01C9-171A-472B-9687-C66C6EBA6A72}"/>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46" name="Text Box 12">
          <a:extLst>
            <a:ext uri="{FF2B5EF4-FFF2-40B4-BE49-F238E27FC236}">
              <a16:creationId xmlns="" xmlns:a16="http://schemas.microsoft.com/office/drawing/2014/main" id="{3E052B8D-0083-4EB5-8DCA-7D04392C7800}"/>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47" name="Text Box 10">
          <a:extLst>
            <a:ext uri="{FF2B5EF4-FFF2-40B4-BE49-F238E27FC236}">
              <a16:creationId xmlns="" xmlns:a16="http://schemas.microsoft.com/office/drawing/2014/main" id="{5466D207-352E-433B-B5F0-1C9043B5D20A}"/>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48" name="Text Box 11">
          <a:extLst>
            <a:ext uri="{FF2B5EF4-FFF2-40B4-BE49-F238E27FC236}">
              <a16:creationId xmlns="" xmlns:a16="http://schemas.microsoft.com/office/drawing/2014/main" id="{E1B53E68-DE21-40EF-A829-435E3733C52B}"/>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49" name="Text Box 12">
          <a:extLst>
            <a:ext uri="{FF2B5EF4-FFF2-40B4-BE49-F238E27FC236}">
              <a16:creationId xmlns="" xmlns:a16="http://schemas.microsoft.com/office/drawing/2014/main" id="{986C6DE3-DCDE-4207-B9F2-D28B93EF931C}"/>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50" name="Text Box 10">
          <a:extLst>
            <a:ext uri="{FF2B5EF4-FFF2-40B4-BE49-F238E27FC236}">
              <a16:creationId xmlns="" xmlns:a16="http://schemas.microsoft.com/office/drawing/2014/main" id="{89880821-D507-4963-966E-04A2984BEE25}"/>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51" name="Text Box 11">
          <a:extLst>
            <a:ext uri="{FF2B5EF4-FFF2-40B4-BE49-F238E27FC236}">
              <a16:creationId xmlns="" xmlns:a16="http://schemas.microsoft.com/office/drawing/2014/main" id="{11B3921D-CD37-4778-A190-E902B6ED5975}"/>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52" name="Text Box 12">
          <a:extLst>
            <a:ext uri="{FF2B5EF4-FFF2-40B4-BE49-F238E27FC236}">
              <a16:creationId xmlns="" xmlns:a16="http://schemas.microsoft.com/office/drawing/2014/main" id="{420DF050-BA2D-4F4C-8B57-AB38C579D448}"/>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53" name="Text Box 10">
          <a:extLst>
            <a:ext uri="{FF2B5EF4-FFF2-40B4-BE49-F238E27FC236}">
              <a16:creationId xmlns="" xmlns:a16="http://schemas.microsoft.com/office/drawing/2014/main" id="{E0D10E11-855A-4B78-8C8C-2B80F583C8D2}"/>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54" name="Text Box 11">
          <a:extLst>
            <a:ext uri="{FF2B5EF4-FFF2-40B4-BE49-F238E27FC236}">
              <a16:creationId xmlns="" xmlns:a16="http://schemas.microsoft.com/office/drawing/2014/main" id="{18CDD706-716D-48C2-9A76-796A6F3BB214}"/>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55" name="Text Box 12">
          <a:extLst>
            <a:ext uri="{FF2B5EF4-FFF2-40B4-BE49-F238E27FC236}">
              <a16:creationId xmlns="" xmlns:a16="http://schemas.microsoft.com/office/drawing/2014/main" id="{440C4291-CCBC-4C98-B269-BD4CE713AD7B}"/>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56" name="Text Box 10">
          <a:extLst>
            <a:ext uri="{FF2B5EF4-FFF2-40B4-BE49-F238E27FC236}">
              <a16:creationId xmlns="" xmlns:a16="http://schemas.microsoft.com/office/drawing/2014/main" id="{84A2088C-6B36-4565-B0A1-7C490EEFDA6E}"/>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57" name="Text Box 11">
          <a:extLst>
            <a:ext uri="{FF2B5EF4-FFF2-40B4-BE49-F238E27FC236}">
              <a16:creationId xmlns="" xmlns:a16="http://schemas.microsoft.com/office/drawing/2014/main" id="{4D3A2785-9220-4B19-BC21-56456C461869}"/>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58" name="Text Box 12">
          <a:extLst>
            <a:ext uri="{FF2B5EF4-FFF2-40B4-BE49-F238E27FC236}">
              <a16:creationId xmlns="" xmlns:a16="http://schemas.microsoft.com/office/drawing/2014/main" id="{629B39B6-9757-4A0E-AF06-07A83FEB6659}"/>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59" name="Text Box 10">
          <a:extLst>
            <a:ext uri="{FF2B5EF4-FFF2-40B4-BE49-F238E27FC236}">
              <a16:creationId xmlns="" xmlns:a16="http://schemas.microsoft.com/office/drawing/2014/main" id="{E3742283-6458-41FD-8512-8D85C8778649}"/>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60" name="Text Box 11">
          <a:extLst>
            <a:ext uri="{FF2B5EF4-FFF2-40B4-BE49-F238E27FC236}">
              <a16:creationId xmlns="" xmlns:a16="http://schemas.microsoft.com/office/drawing/2014/main" id="{6685423E-672A-45F5-8687-DC2A3C852EB1}"/>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61" name="Text Box 12">
          <a:extLst>
            <a:ext uri="{FF2B5EF4-FFF2-40B4-BE49-F238E27FC236}">
              <a16:creationId xmlns="" xmlns:a16="http://schemas.microsoft.com/office/drawing/2014/main" id="{1897C632-524C-4237-8CC7-FDFA26DB40C2}"/>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62" name="Text Box 10">
          <a:extLst>
            <a:ext uri="{FF2B5EF4-FFF2-40B4-BE49-F238E27FC236}">
              <a16:creationId xmlns="" xmlns:a16="http://schemas.microsoft.com/office/drawing/2014/main" id="{FEA85911-E39D-4C5B-8AB4-330C04DF65A7}"/>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63" name="Text Box 11">
          <a:extLst>
            <a:ext uri="{FF2B5EF4-FFF2-40B4-BE49-F238E27FC236}">
              <a16:creationId xmlns="" xmlns:a16="http://schemas.microsoft.com/office/drawing/2014/main" id="{FE77918A-A70E-428F-99CD-802032399D04}"/>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64" name="Text Box 12">
          <a:extLst>
            <a:ext uri="{FF2B5EF4-FFF2-40B4-BE49-F238E27FC236}">
              <a16:creationId xmlns="" xmlns:a16="http://schemas.microsoft.com/office/drawing/2014/main" id="{EAFE9D3D-EBC0-4B65-A445-2CF21BDB5EB5}"/>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65" name="Text Box 10">
          <a:extLst>
            <a:ext uri="{FF2B5EF4-FFF2-40B4-BE49-F238E27FC236}">
              <a16:creationId xmlns="" xmlns:a16="http://schemas.microsoft.com/office/drawing/2014/main" id="{0FCD7728-6754-4567-8F69-1D71AB0B78BD}"/>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66" name="Text Box 11">
          <a:extLst>
            <a:ext uri="{FF2B5EF4-FFF2-40B4-BE49-F238E27FC236}">
              <a16:creationId xmlns="" xmlns:a16="http://schemas.microsoft.com/office/drawing/2014/main" id="{B13236A3-6709-47C5-A0D0-36C7F2263C66}"/>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67" name="Text Box 12">
          <a:extLst>
            <a:ext uri="{FF2B5EF4-FFF2-40B4-BE49-F238E27FC236}">
              <a16:creationId xmlns="" xmlns:a16="http://schemas.microsoft.com/office/drawing/2014/main" id="{BE2CA347-5D35-46CB-8443-993405BBBB85}"/>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68" name="Text Box 10">
          <a:extLst>
            <a:ext uri="{FF2B5EF4-FFF2-40B4-BE49-F238E27FC236}">
              <a16:creationId xmlns="" xmlns:a16="http://schemas.microsoft.com/office/drawing/2014/main" id="{75E643E9-0DF0-406C-8046-E4538AF2DE11}"/>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69" name="Text Box 11">
          <a:extLst>
            <a:ext uri="{FF2B5EF4-FFF2-40B4-BE49-F238E27FC236}">
              <a16:creationId xmlns="" xmlns:a16="http://schemas.microsoft.com/office/drawing/2014/main" id="{5286A116-5FF3-4B72-A00E-25F84205818D}"/>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70" name="Text Box 12">
          <a:extLst>
            <a:ext uri="{FF2B5EF4-FFF2-40B4-BE49-F238E27FC236}">
              <a16:creationId xmlns="" xmlns:a16="http://schemas.microsoft.com/office/drawing/2014/main" id="{A70EDABA-D3D0-4C77-906D-EB3307C79E38}"/>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71" name="Text Box 10">
          <a:extLst>
            <a:ext uri="{FF2B5EF4-FFF2-40B4-BE49-F238E27FC236}">
              <a16:creationId xmlns="" xmlns:a16="http://schemas.microsoft.com/office/drawing/2014/main" id="{BA812ADB-2F01-494C-B05B-B6CFDB7E6C25}"/>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72" name="Text Box 11">
          <a:extLst>
            <a:ext uri="{FF2B5EF4-FFF2-40B4-BE49-F238E27FC236}">
              <a16:creationId xmlns="" xmlns:a16="http://schemas.microsoft.com/office/drawing/2014/main" id="{F700CCC6-6806-46A0-98B0-43D79EFD2DD5}"/>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73" name="Text Box 12">
          <a:extLst>
            <a:ext uri="{FF2B5EF4-FFF2-40B4-BE49-F238E27FC236}">
              <a16:creationId xmlns="" xmlns:a16="http://schemas.microsoft.com/office/drawing/2014/main" id="{ECFFBCE2-FF4F-444A-9BAC-A970D04E5356}"/>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74" name="Text Box 10">
          <a:extLst>
            <a:ext uri="{FF2B5EF4-FFF2-40B4-BE49-F238E27FC236}">
              <a16:creationId xmlns="" xmlns:a16="http://schemas.microsoft.com/office/drawing/2014/main" id="{B802B073-5A32-4FA9-949D-ED8BBB6CF930}"/>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75" name="Text Box 11">
          <a:extLst>
            <a:ext uri="{FF2B5EF4-FFF2-40B4-BE49-F238E27FC236}">
              <a16:creationId xmlns="" xmlns:a16="http://schemas.microsoft.com/office/drawing/2014/main" id="{1943B12F-B25C-4966-B525-940A528A7BB3}"/>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76" name="Text Box 12">
          <a:extLst>
            <a:ext uri="{FF2B5EF4-FFF2-40B4-BE49-F238E27FC236}">
              <a16:creationId xmlns="" xmlns:a16="http://schemas.microsoft.com/office/drawing/2014/main" id="{C1327E77-CA00-4643-90FC-8337D5F3E75C}"/>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77" name="Text Box 10">
          <a:extLst>
            <a:ext uri="{FF2B5EF4-FFF2-40B4-BE49-F238E27FC236}">
              <a16:creationId xmlns="" xmlns:a16="http://schemas.microsoft.com/office/drawing/2014/main" id="{640D973B-9A66-4595-B897-27FB572CB4BD}"/>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78" name="Text Box 11">
          <a:extLst>
            <a:ext uri="{FF2B5EF4-FFF2-40B4-BE49-F238E27FC236}">
              <a16:creationId xmlns="" xmlns:a16="http://schemas.microsoft.com/office/drawing/2014/main" id="{0D2FA5A2-29DA-4332-98A2-1D4EA7FDAA39}"/>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79" name="Text Box 12">
          <a:extLst>
            <a:ext uri="{FF2B5EF4-FFF2-40B4-BE49-F238E27FC236}">
              <a16:creationId xmlns="" xmlns:a16="http://schemas.microsoft.com/office/drawing/2014/main" id="{D630DAAA-5CE9-4723-AFF1-474C500C52AA}"/>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80" name="Text Box 10">
          <a:extLst>
            <a:ext uri="{FF2B5EF4-FFF2-40B4-BE49-F238E27FC236}">
              <a16:creationId xmlns="" xmlns:a16="http://schemas.microsoft.com/office/drawing/2014/main" id="{6D088A62-0C3C-4539-A7E3-58EB6C8B895E}"/>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81" name="Text Box 11">
          <a:extLst>
            <a:ext uri="{FF2B5EF4-FFF2-40B4-BE49-F238E27FC236}">
              <a16:creationId xmlns="" xmlns:a16="http://schemas.microsoft.com/office/drawing/2014/main" id="{866D39B5-C56D-401D-833F-78900A6C31A6}"/>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82" name="Text Box 12">
          <a:extLst>
            <a:ext uri="{FF2B5EF4-FFF2-40B4-BE49-F238E27FC236}">
              <a16:creationId xmlns="" xmlns:a16="http://schemas.microsoft.com/office/drawing/2014/main" id="{EAE4BE52-52CF-40FA-9374-5F2D0876A317}"/>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83" name="Text Box 10">
          <a:extLst>
            <a:ext uri="{FF2B5EF4-FFF2-40B4-BE49-F238E27FC236}">
              <a16:creationId xmlns="" xmlns:a16="http://schemas.microsoft.com/office/drawing/2014/main" id="{7DB03249-8533-40BF-89EC-6FD89F498429}"/>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84" name="Text Box 11">
          <a:extLst>
            <a:ext uri="{FF2B5EF4-FFF2-40B4-BE49-F238E27FC236}">
              <a16:creationId xmlns="" xmlns:a16="http://schemas.microsoft.com/office/drawing/2014/main" id="{F2058853-70F1-449C-9633-376391ADC352}"/>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85" name="Text Box 12">
          <a:extLst>
            <a:ext uri="{FF2B5EF4-FFF2-40B4-BE49-F238E27FC236}">
              <a16:creationId xmlns="" xmlns:a16="http://schemas.microsoft.com/office/drawing/2014/main" id="{E45E6852-97C8-4778-94D7-D1C193FFA6B3}"/>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86" name="Text Box 10">
          <a:extLst>
            <a:ext uri="{FF2B5EF4-FFF2-40B4-BE49-F238E27FC236}">
              <a16:creationId xmlns="" xmlns:a16="http://schemas.microsoft.com/office/drawing/2014/main" id="{C3026A33-DF33-44E8-AD3D-92940506FF2F}"/>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87" name="Text Box 11">
          <a:extLst>
            <a:ext uri="{FF2B5EF4-FFF2-40B4-BE49-F238E27FC236}">
              <a16:creationId xmlns="" xmlns:a16="http://schemas.microsoft.com/office/drawing/2014/main" id="{05A160FB-B1A6-421D-BBD2-A3CCF6EE643F}"/>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88" name="Text Box 12">
          <a:extLst>
            <a:ext uri="{FF2B5EF4-FFF2-40B4-BE49-F238E27FC236}">
              <a16:creationId xmlns="" xmlns:a16="http://schemas.microsoft.com/office/drawing/2014/main" id="{93BB5B14-F231-4CFE-87AE-4576D24A2551}"/>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89" name="Text Box 10">
          <a:extLst>
            <a:ext uri="{FF2B5EF4-FFF2-40B4-BE49-F238E27FC236}">
              <a16:creationId xmlns="" xmlns:a16="http://schemas.microsoft.com/office/drawing/2014/main" id="{B4F02883-0637-48E1-B264-9ED08F67BA01}"/>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90" name="Text Box 11">
          <a:extLst>
            <a:ext uri="{FF2B5EF4-FFF2-40B4-BE49-F238E27FC236}">
              <a16:creationId xmlns="" xmlns:a16="http://schemas.microsoft.com/office/drawing/2014/main" id="{715C1E29-E4D3-427F-9E81-8E0E4DD4F6FB}"/>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91" name="Text Box 12">
          <a:extLst>
            <a:ext uri="{FF2B5EF4-FFF2-40B4-BE49-F238E27FC236}">
              <a16:creationId xmlns="" xmlns:a16="http://schemas.microsoft.com/office/drawing/2014/main" id="{5D109F76-6CE4-476D-9C80-C36BA075BF5A}"/>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92" name="Text Box 10">
          <a:extLst>
            <a:ext uri="{FF2B5EF4-FFF2-40B4-BE49-F238E27FC236}">
              <a16:creationId xmlns="" xmlns:a16="http://schemas.microsoft.com/office/drawing/2014/main" id="{F0ABE9BE-F0F8-4D4D-9672-DA2E2EC39530}"/>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93" name="Text Box 11">
          <a:extLst>
            <a:ext uri="{FF2B5EF4-FFF2-40B4-BE49-F238E27FC236}">
              <a16:creationId xmlns="" xmlns:a16="http://schemas.microsoft.com/office/drawing/2014/main" id="{FF904449-4111-49EE-B358-2AE2334DE416}"/>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94" name="Text Box 12">
          <a:extLst>
            <a:ext uri="{FF2B5EF4-FFF2-40B4-BE49-F238E27FC236}">
              <a16:creationId xmlns="" xmlns:a16="http://schemas.microsoft.com/office/drawing/2014/main" id="{27A71518-FEF8-43CB-9C02-223963256F7D}"/>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95" name="Text Box 10">
          <a:extLst>
            <a:ext uri="{FF2B5EF4-FFF2-40B4-BE49-F238E27FC236}">
              <a16:creationId xmlns="" xmlns:a16="http://schemas.microsoft.com/office/drawing/2014/main" id="{88476DF8-DE01-42B6-AD72-55A31FD3E60B}"/>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96" name="Text Box 11">
          <a:extLst>
            <a:ext uri="{FF2B5EF4-FFF2-40B4-BE49-F238E27FC236}">
              <a16:creationId xmlns="" xmlns:a16="http://schemas.microsoft.com/office/drawing/2014/main" id="{EBCE1CE1-CDD6-4223-A2EF-0F6D6F3C8488}"/>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97" name="Text Box 12">
          <a:extLst>
            <a:ext uri="{FF2B5EF4-FFF2-40B4-BE49-F238E27FC236}">
              <a16:creationId xmlns="" xmlns:a16="http://schemas.microsoft.com/office/drawing/2014/main" id="{43929B47-EE04-47A2-BBDD-A3A3C9C5FFDD}"/>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98" name="Text Box 10">
          <a:extLst>
            <a:ext uri="{FF2B5EF4-FFF2-40B4-BE49-F238E27FC236}">
              <a16:creationId xmlns="" xmlns:a16="http://schemas.microsoft.com/office/drawing/2014/main" id="{CDACEC4B-2401-47F1-A637-528FD93FF8FC}"/>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99" name="Text Box 11">
          <a:extLst>
            <a:ext uri="{FF2B5EF4-FFF2-40B4-BE49-F238E27FC236}">
              <a16:creationId xmlns="" xmlns:a16="http://schemas.microsoft.com/office/drawing/2014/main" id="{87F34B95-0CCA-4787-A0B5-BEBAA2B1E7BE}"/>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100" name="Text Box 12">
          <a:extLst>
            <a:ext uri="{FF2B5EF4-FFF2-40B4-BE49-F238E27FC236}">
              <a16:creationId xmlns="" xmlns:a16="http://schemas.microsoft.com/office/drawing/2014/main" id="{52E90EC7-0F23-4DB8-8043-9BE20DED1636}"/>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101" name="Text Box 10">
          <a:extLst>
            <a:ext uri="{FF2B5EF4-FFF2-40B4-BE49-F238E27FC236}">
              <a16:creationId xmlns="" xmlns:a16="http://schemas.microsoft.com/office/drawing/2014/main" id="{00CA9717-0820-42A0-8067-4A8DD5603433}"/>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102" name="Text Box 11">
          <a:extLst>
            <a:ext uri="{FF2B5EF4-FFF2-40B4-BE49-F238E27FC236}">
              <a16:creationId xmlns="" xmlns:a16="http://schemas.microsoft.com/office/drawing/2014/main" id="{EBF7CD5A-7B60-4477-A21B-D744B818DAF5}"/>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103" name="Text Box 12">
          <a:extLst>
            <a:ext uri="{FF2B5EF4-FFF2-40B4-BE49-F238E27FC236}">
              <a16:creationId xmlns="" xmlns:a16="http://schemas.microsoft.com/office/drawing/2014/main" id="{CFE0ACF1-73F2-4A93-9594-5292D22D4CFB}"/>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104" name="Text Box 10">
          <a:extLst>
            <a:ext uri="{FF2B5EF4-FFF2-40B4-BE49-F238E27FC236}">
              <a16:creationId xmlns="" xmlns:a16="http://schemas.microsoft.com/office/drawing/2014/main" id="{EAB5FE0D-3DE5-4434-9194-C415012B9B95}"/>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105" name="Text Box 11">
          <a:extLst>
            <a:ext uri="{FF2B5EF4-FFF2-40B4-BE49-F238E27FC236}">
              <a16:creationId xmlns="" xmlns:a16="http://schemas.microsoft.com/office/drawing/2014/main" id="{1C9BF7EE-9883-4244-9D24-47316A0F9C0A}"/>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106" name="Text Box 12">
          <a:extLst>
            <a:ext uri="{FF2B5EF4-FFF2-40B4-BE49-F238E27FC236}">
              <a16:creationId xmlns="" xmlns:a16="http://schemas.microsoft.com/office/drawing/2014/main" id="{283569F3-513C-4685-A6AF-F66BCB351293}"/>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107" name="Text Box 10">
          <a:extLst>
            <a:ext uri="{FF2B5EF4-FFF2-40B4-BE49-F238E27FC236}">
              <a16:creationId xmlns="" xmlns:a16="http://schemas.microsoft.com/office/drawing/2014/main" id="{2B591F2D-D8C8-4559-900F-642F0727BB28}"/>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108" name="Text Box 11">
          <a:extLst>
            <a:ext uri="{FF2B5EF4-FFF2-40B4-BE49-F238E27FC236}">
              <a16:creationId xmlns="" xmlns:a16="http://schemas.microsoft.com/office/drawing/2014/main" id="{41EA2D0F-3D4C-4A29-8502-4EECADC67C00}"/>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109" name="Text Box 12">
          <a:extLst>
            <a:ext uri="{FF2B5EF4-FFF2-40B4-BE49-F238E27FC236}">
              <a16:creationId xmlns="" xmlns:a16="http://schemas.microsoft.com/office/drawing/2014/main" id="{C3349CB6-A1D5-4858-BEB6-09C0D621332C}"/>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110" name="Text Box 10">
          <a:extLst>
            <a:ext uri="{FF2B5EF4-FFF2-40B4-BE49-F238E27FC236}">
              <a16:creationId xmlns="" xmlns:a16="http://schemas.microsoft.com/office/drawing/2014/main" id="{7C580C0B-AD6E-40E0-A8E5-75966DD9B3E6}"/>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111" name="Text Box 11">
          <a:extLst>
            <a:ext uri="{FF2B5EF4-FFF2-40B4-BE49-F238E27FC236}">
              <a16:creationId xmlns="" xmlns:a16="http://schemas.microsoft.com/office/drawing/2014/main" id="{4BF77833-D180-4EAE-90EB-081AC147C91A}"/>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112" name="Text Box 12">
          <a:extLst>
            <a:ext uri="{FF2B5EF4-FFF2-40B4-BE49-F238E27FC236}">
              <a16:creationId xmlns="" xmlns:a16="http://schemas.microsoft.com/office/drawing/2014/main" id="{AFBDB03D-ADCD-43DA-B567-9D5A9356D6C2}"/>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113" name="Text Box 10">
          <a:extLst>
            <a:ext uri="{FF2B5EF4-FFF2-40B4-BE49-F238E27FC236}">
              <a16:creationId xmlns="" xmlns:a16="http://schemas.microsoft.com/office/drawing/2014/main" id="{DB1B2BC3-9977-49B0-B510-EAD39CB7FBEA}"/>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114" name="Text Box 11">
          <a:extLst>
            <a:ext uri="{FF2B5EF4-FFF2-40B4-BE49-F238E27FC236}">
              <a16:creationId xmlns="" xmlns:a16="http://schemas.microsoft.com/office/drawing/2014/main" id="{D1DA560B-B972-43D4-9CB3-25BAC4644278}"/>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115" name="Text Box 12">
          <a:extLst>
            <a:ext uri="{FF2B5EF4-FFF2-40B4-BE49-F238E27FC236}">
              <a16:creationId xmlns="" xmlns:a16="http://schemas.microsoft.com/office/drawing/2014/main" id="{67AE9AB5-D347-413E-9C4E-3CC7EB98611E}"/>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116" name="Text Box 10">
          <a:extLst>
            <a:ext uri="{FF2B5EF4-FFF2-40B4-BE49-F238E27FC236}">
              <a16:creationId xmlns="" xmlns:a16="http://schemas.microsoft.com/office/drawing/2014/main" id="{F8E00450-F85E-4A4F-BA2C-AC8F4847CBD0}"/>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117" name="Text Box 11">
          <a:extLst>
            <a:ext uri="{FF2B5EF4-FFF2-40B4-BE49-F238E27FC236}">
              <a16:creationId xmlns="" xmlns:a16="http://schemas.microsoft.com/office/drawing/2014/main" id="{6842AD46-FE26-423D-BDE1-8D290CE48B22}"/>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118" name="Text Box 12">
          <a:extLst>
            <a:ext uri="{FF2B5EF4-FFF2-40B4-BE49-F238E27FC236}">
              <a16:creationId xmlns="" xmlns:a16="http://schemas.microsoft.com/office/drawing/2014/main" id="{3A1D8ECA-DBC0-4A5B-A703-FA180F13350C}"/>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119" name="Text Box 10">
          <a:extLst>
            <a:ext uri="{FF2B5EF4-FFF2-40B4-BE49-F238E27FC236}">
              <a16:creationId xmlns="" xmlns:a16="http://schemas.microsoft.com/office/drawing/2014/main" id="{50903DCB-235A-41D8-AB3E-921726B93741}"/>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120" name="Text Box 11">
          <a:extLst>
            <a:ext uri="{FF2B5EF4-FFF2-40B4-BE49-F238E27FC236}">
              <a16:creationId xmlns="" xmlns:a16="http://schemas.microsoft.com/office/drawing/2014/main" id="{8540A9CE-D048-4B78-B44E-D37BB35B74B9}"/>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121" name="Text Box 12">
          <a:extLst>
            <a:ext uri="{FF2B5EF4-FFF2-40B4-BE49-F238E27FC236}">
              <a16:creationId xmlns="" xmlns:a16="http://schemas.microsoft.com/office/drawing/2014/main" id="{659849D8-350C-4FD6-A9C7-40C58B5D5278}"/>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122" name="Text Box 10">
          <a:extLst>
            <a:ext uri="{FF2B5EF4-FFF2-40B4-BE49-F238E27FC236}">
              <a16:creationId xmlns="" xmlns:a16="http://schemas.microsoft.com/office/drawing/2014/main" id="{E10F3FAC-C48A-43FE-9C87-90CC603D6E1E}"/>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123" name="Text Box 11">
          <a:extLst>
            <a:ext uri="{FF2B5EF4-FFF2-40B4-BE49-F238E27FC236}">
              <a16:creationId xmlns="" xmlns:a16="http://schemas.microsoft.com/office/drawing/2014/main" id="{2BA4DD6B-D1C5-4A65-8B0D-BB024512959B}"/>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124" name="Text Box 12">
          <a:extLst>
            <a:ext uri="{FF2B5EF4-FFF2-40B4-BE49-F238E27FC236}">
              <a16:creationId xmlns="" xmlns:a16="http://schemas.microsoft.com/office/drawing/2014/main" id="{D4CF0687-1C72-45F4-8EC0-F015CAE2901B}"/>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125" name="Text Box 10">
          <a:extLst>
            <a:ext uri="{FF2B5EF4-FFF2-40B4-BE49-F238E27FC236}">
              <a16:creationId xmlns="" xmlns:a16="http://schemas.microsoft.com/office/drawing/2014/main" id="{E87A597C-05BB-4AA8-8A00-17786D3ED883}"/>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126" name="Text Box 11">
          <a:extLst>
            <a:ext uri="{FF2B5EF4-FFF2-40B4-BE49-F238E27FC236}">
              <a16:creationId xmlns="" xmlns:a16="http://schemas.microsoft.com/office/drawing/2014/main" id="{B1E5E8CB-0E91-4D83-AC0C-590AB24B77FC}"/>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127" name="Text Box 12">
          <a:extLst>
            <a:ext uri="{FF2B5EF4-FFF2-40B4-BE49-F238E27FC236}">
              <a16:creationId xmlns="" xmlns:a16="http://schemas.microsoft.com/office/drawing/2014/main" id="{3A20E2F0-0047-4B3B-AB3D-6548746D030F}"/>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128" name="Text Box 10">
          <a:extLst>
            <a:ext uri="{FF2B5EF4-FFF2-40B4-BE49-F238E27FC236}">
              <a16:creationId xmlns="" xmlns:a16="http://schemas.microsoft.com/office/drawing/2014/main" id="{D842B544-EC03-437C-AD27-40C964727DC8}"/>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129" name="Text Box 11">
          <a:extLst>
            <a:ext uri="{FF2B5EF4-FFF2-40B4-BE49-F238E27FC236}">
              <a16:creationId xmlns="" xmlns:a16="http://schemas.microsoft.com/office/drawing/2014/main" id="{75E1852E-3BF2-4C73-A657-6E217FCFF07E}"/>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130" name="Text Box 12">
          <a:extLst>
            <a:ext uri="{FF2B5EF4-FFF2-40B4-BE49-F238E27FC236}">
              <a16:creationId xmlns="" xmlns:a16="http://schemas.microsoft.com/office/drawing/2014/main" id="{86082074-C863-41A5-BBB9-18CD5CAEB2B8}"/>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131" name="Text Box 10">
          <a:extLst>
            <a:ext uri="{FF2B5EF4-FFF2-40B4-BE49-F238E27FC236}">
              <a16:creationId xmlns="" xmlns:a16="http://schemas.microsoft.com/office/drawing/2014/main" id="{C827CFD8-A899-4564-A3CD-675BE965F372}"/>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132" name="Text Box 11">
          <a:extLst>
            <a:ext uri="{FF2B5EF4-FFF2-40B4-BE49-F238E27FC236}">
              <a16:creationId xmlns="" xmlns:a16="http://schemas.microsoft.com/office/drawing/2014/main" id="{0A671A60-0408-4C23-BCE9-FB04DCE91F58}"/>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133" name="Text Box 12">
          <a:extLst>
            <a:ext uri="{FF2B5EF4-FFF2-40B4-BE49-F238E27FC236}">
              <a16:creationId xmlns="" xmlns:a16="http://schemas.microsoft.com/office/drawing/2014/main" id="{6864D461-DE75-4B22-A7E1-E55750E0CD5A}"/>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134" name="Text Box 10">
          <a:extLst>
            <a:ext uri="{FF2B5EF4-FFF2-40B4-BE49-F238E27FC236}">
              <a16:creationId xmlns="" xmlns:a16="http://schemas.microsoft.com/office/drawing/2014/main" id="{8A440BC4-1A8A-478F-8291-7F7B3E707013}"/>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135" name="Text Box 11">
          <a:extLst>
            <a:ext uri="{FF2B5EF4-FFF2-40B4-BE49-F238E27FC236}">
              <a16:creationId xmlns="" xmlns:a16="http://schemas.microsoft.com/office/drawing/2014/main" id="{65BC2014-23C3-4219-89C9-DB3A2D0C8266}"/>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136" name="Text Box 12">
          <a:extLst>
            <a:ext uri="{FF2B5EF4-FFF2-40B4-BE49-F238E27FC236}">
              <a16:creationId xmlns="" xmlns:a16="http://schemas.microsoft.com/office/drawing/2014/main" id="{DF087AAF-CFDE-44BA-8CD7-FA6AC86FF29C}"/>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137" name="Text Box 10">
          <a:extLst>
            <a:ext uri="{FF2B5EF4-FFF2-40B4-BE49-F238E27FC236}">
              <a16:creationId xmlns="" xmlns:a16="http://schemas.microsoft.com/office/drawing/2014/main" id="{B04FAABA-5D3B-460B-8825-8EEC0341CDAD}"/>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138" name="Text Box 11">
          <a:extLst>
            <a:ext uri="{FF2B5EF4-FFF2-40B4-BE49-F238E27FC236}">
              <a16:creationId xmlns="" xmlns:a16="http://schemas.microsoft.com/office/drawing/2014/main" id="{E1A6BEE5-434A-4D41-8870-28B5FEE2A4B1}"/>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139" name="Text Box 12">
          <a:extLst>
            <a:ext uri="{FF2B5EF4-FFF2-40B4-BE49-F238E27FC236}">
              <a16:creationId xmlns="" xmlns:a16="http://schemas.microsoft.com/office/drawing/2014/main" id="{96D7E90D-715F-4B0A-8E69-F66C03449463}"/>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140" name="Text Box 10">
          <a:extLst>
            <a:ext uri="{FF2B5EF4-FFF2-40B4-BE49-F238E27FC236}">
              <a16:creationId xmlns="" xmlns:a16="http://schemas.microsoft.com/office/drawing/2014/main" id="{1BE8A6D6-70A4-4A23-AFE4-59B4DA47E61E}"/>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141" name="Text Box 11">
          <a:extLst>
            <a:ext uri="{FF2B5EF4-FFF2-40B4-BE49-F238E27FC236}">
              <a16:creationId xmlns="" xmlns:a16="http://schemas.microsoft.com/office/drawing/2014/main" id="{092C8C13-6A71-4BD7-8807-56980688EF9D}"/>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142" name="Text Box 12">
          <a:extLst>
            <a:ext uri="{FF2B5EF4-FFF2-40B4-BE49-F238E27FC236}">
              <a16:creationId xmlns="" xmlns:a16="http://schemas.microsoft.com/office/drawing/2014/main" id="{EF9B6994-CDD9-461D-B619-B76942303561}"/>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143" name="Text Box 10">
          <a:extLst>
            <a:ext uri="{FF2B5EF4-FFF2-40B4-BE49-F238E27FC236}">
              <a16:creationId xmlns="" xmlns:a16="http://schemas.microsoft.com/office/drawing/2014/main" id="{49246C76-8D27-4356-95CC-604A4F2BE9F5}"/>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144" name="Text Box 11">
          <a:extLst>
            <a:ext uri="{FF2B5EF4-FFF2-40B4-BE49-F238E27FC236}">
              <a16:creationId xmlns="" xmlns:a16="http://schemas.microsoft.com/office/drawing/2014/main" id="{90A4425C-D739-49DE-B6BF-321E7F2406C6}"/>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145" name="Text Box 12">
          <a:extLst>
            <a:ext uri="{FF2B5EF4-FFF2-40B4-BE49-F238E27FC236}">
              <a16:creationId xmlns="" xmlns:a16="http://schemas.microsoft.com/office/drawing/2014/main" id="{2EC7A643-B2C5-4748-AB6B-2E8DAEC28CF4}"/>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146" name="Text Box 10">
          <a:extLst>
            <a:ext uri="{FF2B5EF4-FFF2-40B4-BE49-F238E27FC236}">
              <a16:creationId xmlns="" xmlns:a16="http://schemas.microsoft.com/office/drawing/2014/main" id="{3517355F-6A89-4192-9EC3-135859560D1A}"/>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147" name="Text Box 11">
          <a:extLst>
            <a:ext uri="{FF2B5EF4-FFF2-40B4-BE49-F238E27FC236}">
              <a16:creationId xmlns="" xmlns:a16="http://schemas.microsoft.com/office/drawing/2014/main" id="{86A1DE5A-DFDA-4943-B38F-5BDB6A4EBF4D}"/>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148" name="Text Box 12">
          <a:extLst>
            <a:ext uri="{FF2B5EF4-FFF2-40B4-BE49-F238E27FC236}">
              <a16:creationId xmlns="" xmlns:a16="http://schemas.microsoft.com/office/drawing/2014/main" id="{C95F7473-99BC-4955-88B5-9A74707FBCAA}"/>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149" name="Text Box 10">
          <a:extLst>
            <a:ext uri="{FF2B5EF4-FFF2-40B4-BE49-F238E27FC236}">
              <a16:creationId xmlns="" xmlns:a16="http://schemas.microsoft.com/office/drawing/2014/main" id="{EDFE2DF0-4752-4F41-9BCB-92B9C7F2E64D}"/>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150" name="Text Box 11">
          <a:extLst>
            <a:ext uri="{FF2B5EF4-FFF2-40B4-BE49-F238E27FC236}">
              <a16:creationId xmlns="" xmlns:a16="http://schemas.microsoft.com/office/drawing/2014/main" id="{027E1348-B07C-4079-8745-A9E291F27018}"/>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310497</xdr:rowOff>
    </xdr:to>
    <xdr:sp macro="" textlink="">
      <xdr:nvSpPr>
        <xdr:cNvPr id="151" name="Text Box 12">
          <a:extLst>
            <a:ext uri="{FF2B5EF4-FFF2-40B4-BE49-F238E27FC236}">
              <a16:creationId xmlns="" xmlns:a16="http://schemas.microsoft.com/office/drawing/2014/main" id="{30097D04-F160-4A86-8E6F-DFAD48EDCF85}"/>
            </a:ext>
          </a:extLst>
        </xdr:cNvPr>
        <xdr:cNvSpPr txBox="1">
          <a:spLocks noChangeArrowheads="1"/>
        </xdr:cNvSpPr>
      </xdr:nvSpPr>
      <xdr:spPr bwMode="auto">
        <a:xfrm>
          <a:off x="3381375"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152" name="Text Box 10">
          <a:extLst>
            <a:ext uri="{FF2B5EF4-FFF2-40B4-BE49-F238E27FC236}">
              <a16:creationId xmlns="" xmlns:a16="http://schemas.microsoft.com/office/drawing/2014/main" id="{A647C78B-CB6A-4C65-9860-621D7F7F290B}"/>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153" name="Text Box 11">
          <a:extLst>
            <a:ext uri="{FF2B5EF4-FFF2-40B4-BE49-F238E27FC236}">
              <a16:creationId xmlns="" xmlns:a16="http://schemas.microsoft.com/office/drawing/2014/main" id="{E438511B-6AB5-4443-8013-650D5019D213}"/>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154" name="Text Box 12">
          <a:extLst>
            <a:ext uri="{FF2B5EF4-FFF2-40B4-BE49-F238E27FC236}">
              <a16:creationId xmlns="" xmlns:a16="http://schemas.microsoft.com/office/drawing/2014/main" id="{4DBEE0D1-B514-44F3-B88C-FACEB5A19382}"/>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85725</xdr:colOff>
      <xdr:row>17</xdr:row>
      <xdr:rowOff>75984</xdr:rowOff>
    </xdr:to>
    <xdr:sp macro="" textlink="">
      <xdr:nvSpPr>
        <xdr:cNvPr id="155" name="Text Box 10">
          <a:extLst>
            <a:ext uri="{FF2B5EF4-FFF2-40B4-BE49-F238E27FC236}">
              <a16:creationId xmlns="" xmlns:a16="http://schemas.microsoft.com/office/drawing/2014/main" id="{857E61AA-484C-4A86-96AD-387C2B23CF3D}"/>
            </a:ext>
          </a:extLst>
        </xdr:cNvPr>
        <xdr:cNvSpPr txBox="1">
          <a:spLocks noChangeArrowheads="1"/>
        </xdr:cNvSpPr>
      </xdr:nvSpPr>
      <xdr:spPr bwMode="auto">
        <a:xfrm>
          <a:off x="3381375" y="2981325"/>
          <a:ext cx="76200" cy="1783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85725</xdr:colOff>
      <xdr:row>17</xdr:row>
      <xdr:rowOff>75984</xdr:rowOff>
    </xdr:to>
    <xdr:sp macro="" textlink="">
      <xdr:nvSpPr>
        <xdr:cNvPr id="156" name="Text Box 11">
          <a:extLst>
            <a:ext uri="{FF2B5EF4-FFF2-40B4-BE49-F238E27FC236}">
              <a16:creationId xmlns="" xmlns:a16="http://schemas.microsoft.com/office/drawing/2014/main" id="{C2AC83D1-91BA-4BF2-A3D5-4DE46F7ECACF}"/>
            </a:ext>
          </a:extLst>
        </xdr:cNvPr>
        <xdr:cNvSpPr txBox="1">
          <a:spLocks noChangeArrowheads="1"/>
        </xdr:cNvSpPr>
      </xdr:nvSpPr>
      <xdr:spPr bwMode="auto">
        <a:xfrm>
          <a:off x="3381375" y="2981325"/>
          <a:ext cx="76200" cy="1783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85725</xdr:colOff>
      <xdr:row>17</xdr:row>
      <xdr:rowOff>75984</xdr:rowOff>
    </xdr:to>
    <xdr:sp macro="" textlink="">
      <xdr:nvSpPr>
        <xdr:cNvPr id="157" name="Text Box 12">
          <a:extLst>
            <a:ext uri="{FF2B5EF4-FFF2-40B4-BE49-F238E27FC236}">
              <a16:creationId xmlns="" xmlns:a16="http://schemas.microsoft.com/office/drawing/2014/main" id="{9C7F48AB-140F-4FD3-AF4A-9D01848B3CF5}"/>
            </a:ext>
          </a:extLst>
        </xdr:cNvPr>
        <xdr:cNvSpPr txBox="1">
          <a:spLocks noChangeArrowheads="1"/>
        </xdr:cNvSpPr>
      </xdr:nvSpPr>
      <xdr:spPr bwMode="auto">
        <a:xfrm>
          <a:off x="3381375" y="2981325"/>
          <a:ext cx="76200" cy="1783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158" name="Text Box 10">
          <a:extLst>
            <a:ext uri="{FF2B5EF4-FFF2-40B4-BE49-F238E27FC236}">
              <a16:creationId xmlns="" xmlns:a16="http://schemas.microsoft.com/office/drawing/2014/main" id="{ED3E6417-1E59-40E8-94CA-8E3E51D3938A}"/>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159" name="Text Box 11">
          <a:extLst>
            <a:ext uri="{FF2B5EF4-FFF2-40B4-BE49-F238E27FC236}">
              <a16:creationId xmlns="" xmlns:a16="http://schemas.microsoft.com/office/drawing/2014/main" id="{72D73649-3444-4751-BC1D-B9EFBB5F9D9E}"/>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160" name="Text Box 12">
          <a:extLst>
            <a:ext uri="{FF2B5EF4-FFF2-40B4-BE49-F238E27FC236}">
              <a16:creationId xmlns="" xmlns:a16="http://schemas.microsoft.com/office/drawing/2014/main" id="{C694B5AF-9CAB-4123-8C55-05EBE44BF53F}"/>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85725</xdr:colOff>
      <xdr:row>17</xdr:row>
      <xdr:rowOff>75984</xdr:rowOff>
    </xdr:to>
    <xdr:sp macro="" textlink="">
      <xdr:nvSpPr>
        <xdr:cNvPr id="161" name="Text Box 10">
          <a:extLst>
            <a:ext uri="{FF2B5EF4-FFF2-40B4-BE49-F238E27FC236}">
              <a16:creationId xmlns="" xmlns:a16="http://schemas.microsoft.com/office/drawing/2014/main" id="{860F4E61-88F9-4016-A9F5-27ADEE6F166C}"/>
            </a:ext>
          </a:extLst>
        </xdr:cNvPr>
        <xdr:cNvSpPr txBox="1">
          <a:spLocks noChangeArrowheads="1"/>
        </xdr:cNvSpPr>
      </xdr:nvSpPr>
      <xdr:spPr bwMode="auto">
        <a:xfrm>
          <a:off x="3381375" y="2981325"/>
          <a:ext cx="76200" cy="1783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85725</xdr:colOff>
      <xdr:row>17</xdr:row>
      <xdr:rowOff>75984</xdr:rowOff>
    </xdr:to>
    <xdr:sp macro="" textlink="">
      <xdr:nvSpPr>
        <xdr:cNvPr id="162" name="Text Box 11">
          <a:extLst>
            <a:ext uri="{FF2B5EF4-FFF2-40B4-BE49-F238E27FC236}">
              <a16:creationId xmlns="" xmlns:a16="http://schemas.microsoft.com/office/drawing/2014/main" id="{3060D82C-70F7-4056-9F88-2ABB0B1FB0D7}"/>
            </a:ext>
          </a:extLst>
        </xdr:cNvPr>
        <xdr:cNvSpPr txBox="1">
          <a:spLocks noChangeArrowheads="1"/>
        </xdr:cNvSpPr>
      </xdr:nvSpPr>
      <xdr:spPr bwMode="auto">
        <a:xfrm>
          <a:off x="3381375" y="2981325"/>
          <a:ext cx="76200" cy="1783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85725</xdr:colOff>
      <xdr:row>17</xdr:row>
      <xdr:rowOff>75984</xdr:rowOff>
    </xdr:to>
    <xdr:sp macro="" textlink="">
      <xdr:nvSpPr>
        <xdr:cNvPr id="163" name="Text Box 12">
          <a:extLst>
            <a:ext uri="{FF2B5EF4-FFF2-40B4-BE49-F238E27FC236}">
              <a16:creationId xmlns="" xmlns:a16="http://schemas.microsoft.com/office/drawing/2014/main" id="{7A24A174-12D4-4A39-A7BF-98F9DCAB1A77}"/>
            </a:ext>
          </a:extLst>
        </xdr:cNvPr>
        <xdr:cNvSpPr txBox="1">
          <a:spLocks noChangeArrowheads="1"/>
        </xdr:cNvSpPr>
      </xdr:nvSpPr>
      <xdr:spPr bwMode="auto">
        <a:xfrm>
          <a:off x="3381375" y="2981325"/>
          <a:ext cx="76200" cy="1783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164" name="Text Box 10">
          <a:extLst>
            <a:ext uri="{FF2B5EF4-FFF2-40B4-BE49-F238E27FC236}">
              <a16:creationId xmlns="" xmlns:a16="http://schemas.microsoft.com/office/drawing/2014/main" id="{2BC53A46-9D8A-41AB-9921-DC000F8B4EB5}"/>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165" name="Text Box 11">
          <a:extLst>
            <a:ext uri="{FF2B5EF4-FFF2-40B4-BE49-F238E27FC236}">
              <a16:creationId xmlns="" xmlns:a16="http://schemas.microsoft.com/office/drawing/2014/main" id="{B42E8E75-7B9E-4902-BBD5-2E41F5930AA0}"/>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166" name="Text Box 12">
          <a:extLst>
            <a:ext uri="{FF2B5EF4-FFF2-40B4-BE49-F238E27FC236}">
              <a16:creationId xmlns="" xmlns:a16="http://schemas.microsoft.com/office/drawing/2014/main" id="{578A7162-8E2C-4A55-8B81-4D411AB2C53B}"/>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167" name="Text Box 10">
          <a:extLst>
            <a:ext uri="{FF2B5EF4-FFF2-40B4-BE49-F238E27FC236}">
              <a16:creationId xmlns="" xmlns:a16="http://schemas.microsoft.com/office/drawing/2014/main" id="{69F29705-1AFE-4077-8379-D186118572F2}"/>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168" name="Text Box 11">
          <a:extLst>
            <a:ext uri="{FF2B5EF4-FFF2-40B4-BE49-F238E27FC236}">
              <a16:creationId xmlns="" xmlns:a16="http://schemas.microsoft.com/office/drawing/2014/main" id="{A241E903-86A4-4151-BC37-E745A0B2F656}"/>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169" name="Text Box 12">
          <a:extLst>
            <a:ext uri="{FF2B5EF4-FFF2-40B4-BE49-F238E27FC236}">
              <a16:creationId xmlns="" xmlns:a16="http://schemas.microsoft.com/office/drawing/2014/main" id="{5E9F19B8-D4DF-4939-B646-E35AC181C85B}"/>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170" name="Text Box 10">
          <a:extLst>
            <a:ext uri="{FF2B5EF4-FFF2-40B4-BE49-F238E27FC236}">
              <a16:creationId xmlns="" xmlns:a16="http://schemas.microsoft.com/office/drawing/2014/main" id="{989ECE31-CEFC-44F3-9C06-364D1900D38A}"/>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171" name="Text Box 11">
          <a:extLst>
            <a:ext uri="{FF2B5EF4-FFF2-40B4-BE49-F238E27FC236}">
              <a16:creationId xmlns="" xmlns:a16="http://schemas.microsoft.com/office/drawing/2014/main" id="{9BF19801-905F-4992-B367-A27A4BE69435}"/>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172" name="Text Box 12">
          <a:extLst>
            <a:ext uri="{FF2B5EF4-FFF2-40B4-BE49-F238E27FC236}">
              <a16:creationId xmlns="" xmlns:a16="http://schemas.microsoft.com/office/drawing/2014/main" id="{7F8D7790-2DA6-4952-A10B-EBB8EF67B685}"/>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173" name="Text Box 10">
          <a:extLst>
            <a:ext uri="{FF2B5EF4-FFF2-40B4-BE49-F238E27FC236}">
              <a16:creationId xmlns="" xmlns:a16="http://schemas.microsoft.com/office/drawing/2014/main" id="{7477C144-5DB3-4385-B63D-70561C11F97F}"/>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174" name="Text Box 11">
          <a:extLst>
            <a:ext uri="{FF2B5EF4-FFF2-40B4-BE49-F238E27FC236}">
              <a16:creationId xmlns="" xmlns:a16="http://schemas.microsoft.com/office/drawing/2014/main" id="{7025AB0B-F28E-4D29-98C3-214746865460}"/>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175" name="Text Box 12">
          <a:extLst>
            <a:ext uri="{FF2B5EF4-FFF2-40B4-BE49-F238E27FC236}">
              <a16:creationId xmlns="" xmlns:a16="http://schemas.microsoft.com/office/drawing/2014/main" id="{11D2D5A4-B681-4D21-9AC9-7DA09B8B1C64}"/>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176" name="Text Box 10">
          <a:extLst>
            <a:ext uri="{FF2B5EF4-FFF2-40B4-BE49-F238E27FC236}">
              <a16:creationId xmlns="" xmlns:a16="http://schemas.microsoft.com/office/drawing/2014/main" id="{947ED116-AEFB-457C-A430-1B62CC9BA2AF}"/>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177" name="Text Box 11">
          <a:extLst>
            <a:ext uri="{FF2B5EF4-FFF2-40B4-BE49-F238E27FC236}">
              <a16:creationId xmlns="" xmlns:a16="http://schemas.microsoft.com/office/drawing/2014/main" id="{34F2443D-CF64-4DE4-9AB0-0A8B342CD910}"/>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178" name="Text Box 12">
          <a:extLst>
            <a:ext uri="{FF2B5EF4-FFF2-40B4-BE49-F238E27FC236}">
              <a16:creationId xmlns="" xmlns:a16="http://schemas.microsoft.com/office/drawing/2014/main" id="{6FCCB9C7-B31C-45A2-91B6-2B90B63964C0}"/>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85725</xdr:colOff>
      <xdr:row>17</xdr:row>
      <xdr:rowOff>75984</xdr:rowOff>
    </xdr:to>
    <xdr:sp macro="" textlink="">
      <xdr:nvSpPr>
        <xdr:cNvPr id="179" name="Text Box 10">
          <a:extLst>
            <a:ext uri="{FF2B5EF4-FFF2-40B4-BE49-F238E27FC236}">
              <a16:creationId xmlns="" xmlns:a16="http://schemas.microsoft.com/office/drawing/2014/main" id="{D3A49CE3-A7AA-4B7A-96CE-8DC7D089AEC4}"/>
            </a:ext>
          </a:extLst>
        </xdr:cNvPr>
        <xdr:cNvSpPr txBox="1">
          <a:spLocks noChangeArrowheads="1"/>
        </xdr:cNvSpPr>
      </xdr:nvSpPr>
      <xdr:spPr bwMode="auto">
        <a:xfrm>
          <a:off x="3381375" y="2981325"/>
          <a:ext cx="76200" cy="1783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85725</xdr:colOff>
      <xdr:row>17</xdr:row>
      <xdr:rowOff>75984</xdr:rowOff>
    </xdr:to>
    <xdr:sp macro="" textlink="">
      <xdr:nvSpPr>
        <xdr:cNvPr id="180" name="Text Box 11">
          <a:extLst>
            <a:ext uri="{FF2B5EF4-FFF2-40B4-BE49-F238E27FC236}">
              <a16:creationId xmlns="" xmlns:a16="http://schemas.microsoft.com/office/drawing/2014/main" id="{46C6C031-88B2-4B1B-992D-CB101EEEEEAB}"/>
            </a:ext>
          </a:extLst>
        </xdr:cNvPr>
        <xdr:cNvSpPr txBox="1">
          <a:spLocks noChangeArrowheads="1"/>
        </xdr:cNvSpPr>
      </xdr:nvSpPr>
      <xdr:spPr bwMode="auto">
        <a:xfrm>
          <a:off x="3381375" y="2981325"/>
          <a:ext cx="76200" cy="1783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85725</xdr:colOff>
      <xdr:row>17</xdr:row>
      <xdr:rowOff>75984</xdr:rowOff>
    </xdr:to>
    <xdr:sp macro="" textlink="">
      <xdr:nvSpPr>
        <xdr:cNvPr id="181" name="Text Box 12">
          <a:extLst>
            <a:ext uri="{FF2B5EF4-FFF2-40B4-BE49-F238E27FC236}">
              <a16:creationId xmlns="" xmlns:a16="http://schemas.microsoft.com/office/drawing/2014/main" id="{9F109674-3915-4AB0-B480-41AEB6E8CE4B}"/>
            </a:ext>
          </a:extLst>
        </xdr:cNvPr>
        <xdr:cNvSpPr txBox="1">
          <a:spLocks noChangeArrowheads="1"/>
        </xdr:cNvSpPr>
      </xdr:nvSpPr>
      <xdr:spPr bwMode="auto">
        <a:xfrm>
          <a:off x="3381375" y="2981325"/>
          <a:ext cx="76200" cy="1783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182" name="Text Box 10">
          <a:extLst>
            <a:ext uri="{FF2B5EF4-FFF2-40B4-BE49-F238E27FC236}">
              <a16:creationId xmlns="" xmlns:a16="http://schemas.microsoft.com/office/drawing/2014/main" id="{993BF4D2-C8C2-4E85-A02E-2312F4895A50}"/>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183" name="Text Box 11">
          <a:extLst>
            <a:ext uri="{FF2B5EF4-FFF2-40B4-BE49-F238E27FC236}">
              <a16:creationId xmlns="" xmlns:a16="http://schemas.microsoft.com/office/drawing/2014/main" id="{D9C2EC53-F604-469B-94C5-CBD076E81563}"/>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184" name="Text Box 12">
          <a:extLst>
            <a:ext uri="{FF2B5EF4-FFF2-40B4-BE49-F238E27FC236}">
              <a16:creationId xmlns="" xmlns:a16="http://schemas.microsoft.com/office/drawing/2014/main" id="{4FAC20D9-4C5B-4CC3-BEEA-AFEF00814B66}"/>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85725</xdr:colOff>
      <xdr:row>17</xdr:row>
      <xdr:rowOff>75984</xdr:rowOff>
    </xdr:to>
    <xdr:sp macro="" textlink="">
      <xdr:nvSpPr>
        <xdr:cNvPr id="185" name="Text Box 10">
          <a:extLst>
            <a:ext uri="{FF2B5EF4-FFF2-40B4-BE49-F238E27FC236}">
              <a16:creationId xmlns="" xmlns:a16="http://schemas.microsoft.com/office/drawing/2014/main" id="{741F5D85-ACB8-4D89-B57D-D3DCDF369DAC}"/>
            </a:ext>
          </a:extLst>
        </xdr:cNvPr>
        <xdr:cNvSpPr txBox="1">
          <a:spLocks noChangeArrowheads="1"/>
        </xdr:cNvSpPr>
      </xdr:nvSpPr>
      <xdr:spPr bwMode="auto">
        <a:xfrm>
          <a:off x="3381375" y="2981325"/>
          <a:ext cx="76200" cy="1783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85725</xdr:colOff>
      <xdr:row>17</xdr:row>
      <xdr:rowOff>75984</xdr:rowOff>
    </xdr:to>
    <xdr:sp macro="" textlink="">
      <xdr:nvSpPr>
        <xdr:cNvPr id="186" name="Text Box 11">
          <a:extLst>
            <a:ext uri="{FF2B5EF4-FFF2-40B4-BE49-F238E27FC236}">
              <a16:creationId xmlns="" xmlns:a16="http://schemas.microsoft.com/office/drawing/2014/main" id="{7D0F23B2-7C7F-4BAC-9CC4-2A8A603453FF}"/>
            </a:ext>
          </a:extLst>
        </xdr:cNvPr>
        <xdr:cNvSpPr txBox="1">
          <a:spLocks noChangeArrowheads="1"/>
        </xdr:cNvSpPr>
      </xdr:nvSpPr>
      <xdr:spPr bwMode="auto">
        <a:xfrm>
          <a:off x="3381375" y="2981325"/>
          <a:ext cx="76200" cy="1783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85725</xdr:colOff>
      <xdr:row>17</xdr:row>
      <xdr:rowOff>75984</xdr:rowOff>
    </xdr:to>
    <xdr:sp macro="" textlink="">
      <xdr:nvSpPr>
        <xdr:cNvPr id="187" name="Text Box 12">
          <a:extLst>
            <a:ext uri="{FF2B5EF4-FFF2-40B4-BE49-F238E27FC236}">
              <a16:creationId xmlns="" xmlns:a16="http://schemas.microsoft.com/office/drawing/2014/main" id="{8B90C820-2B0F-4A92-9942-B1ACF740CECF}"/>
            </a:ext>
          </a:extLst>
        </xdr:cNvPr>
        <xdr:cNvSpPr txBox="1">
          <a:spLocks noChangeArrowheads="1"/>
        </xdr:cNvSpPr>
      </xdr:nvSpPr>
      <xdr:spPr bwMode="auto">
        <a:xfrm>
          <a:off x="3381375" y="2981325"/>
          <a:ext cx="76200" cy="1783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188" name="Text Box 10">
          <a:extLst>
            <a:ext uri="{FF2B5EF4-FFF2-40B4-BE49-F238E27FC236}">
              <a16:creationId xmlns="" xmlns:a16="http://schemas.microsoft.com/office/drawing/2014/main" id="{8AF04F06-A26D-450A-B922-E6BBEA236951}"/>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189" name="Text Box 11">
          <a:extLst>
            <a:ext uri="{FF2B5EF4-FFF2-40B4-BE49-F238E27FC236}">
              <a16:creationId xmlns="" xmlns:a16="http://schemas.microsoft.com/office/drawing/2014/main" id="{74CB7050-4FF9-44F5-BC32-F2B623C1C8B8}"/>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190" name="Text Box 12">
          <a:extLst>
            <a:ext uri="{FF2B5EF4-FFF2-40B4-BE49-F238E27FC236}">
              <a16:creationId xmlns="" xmlns:a16="http://schemas.microsoft.com/office/drawing/2014/main" id="{2DF7BA30-D28C-4EA1-9973-AAFEF4F49A8E}"/>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191" name="Text Box 10">
          <a:extLst>
            <a:ext uri="{FF2B5EF4-FFF2-40B4-BE49-F238E27FC236}">
              <a16:creationId xmlns="" xmlns:a16="http://schemas.microsoft.com/office/drawing/2014/main" id="{B7205C09-F8D5-4F79-924F-0C932375A703}"/>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192" name="Text Box 11">
          <a:extLst>
            <a:ext uri="{FF2B5EF4-FFF2-40B4-BE49-F238E27FC236}">
              <a16:creationId xmlns="" xmlns:a16="http://schemas.microsoft.com/office/drawing/2014/main" id="{74B8FCB6-47E1-4059-BD30-CD36A828D3F5}"/>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193" name="Text Box 12">
          <a:extLst>
            <a:ext uri="{FF2B5EF4-FFF2-40B4-BE49-F238E27FC236}">
              <a16:creationId xmlns="" xmlns:a16="http://schemas.microsoft.com/office/drawing/2014/main" id="{A41FED54-DBE1-45B5-98A2-384396D97E46}"/>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194" name="Text Box 10">
          <a:extLst>
            <a:ext uri="{FF2B5EF4-FFF2-40B4-BE49-F238E27FC236}">
              <a16:creationId xmlns="" xmlns:a16="http://schemas.microsoft.com/office/drawing/2014/main" id="{64278DA6-66E7-4ADB-B52B-DFBB09D6FFA3}"/>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195" name="Text Box 11">
          <a:extLst>
            <a:ext uri="{FF2B5EF4-FFF2-40B4-BE49-F238E27FC236}">
              <a16:creationId xmlns="" xmlns:a16="http://schemas.microsoft.com/office/drawing/2014/main" id="{C86A04F8-7A37-466D-A67C-421C9EAA7AD1}"/>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196" name="Text Box 12">
          <a:extLst>
            <a:ext uri="{FF2B5EF4-FFF2-40B4-BE49-F238E27FC236}">
              <a16:creationId xmlns="" xmlns:a16="http://schemas.microsoft.com/office/drawing/2014/main" id="{5898C289-DEC3-470D-8502-9FAB6FA8EB8E}"/>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197" name="Text Box 10">
          <a:extLst>
            <a:ext uri="{FF2B5EF4-FFF2-40B4-BE49-F238E27FC236}">
              <a16:creationId xmlns="" xmlns:a16="http://schemas.microsoft.com/office/drawing/2014/main" id="{5D3A9382-79A0-43E1-9612-A2A01FE3D427}"/>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198" name="Text Box 11">
          <a:extLst>
            <a:ext uri="{FF2B5EF4-FFF2-40B4-BE49-F238E27FC236}">
              <a16:creationId xmlns="" xmlns:a16="http://schemas.microsoft.com/office/drawing/2014/main" id="{21705CD9-9307-406E-9FB2-A0CB324AFE8F}"/>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199" name="Text Box 12">
          <a:extLst>
            <a:ext uri="{FF2B5EF4-FFF2-40B4-BE49-F238E27FC236}">
              <a16:creationId xmlns="" xmlns:a16="http://schemas.microsoft.com/office/drawing/2014/main" id="{6AD2BB95-8BF8-40B4-A2CF-C5DABC7E6983}"/>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200" name="Text Box 10">
          <a:extLst>
            <a:ext uri="{FF2B5EF4-FFF2-40B4-BE49-F238E27FC236}">
              <a16:creationId xmlns="" xmlns:a16="http://schemas.microsoft.com/office/drawing/2014/main" id="{BEE57B08-4DB3-4EF0-9C1A-59BF0509FCA3}"/>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201" name="Text Box 11">
          <a:extLst>
            <a:ext uri="{FF2B5EF4-FFF2-40B4-BE49-F238E27FC236}">
              <a16:creationId xmlns="" xmlns:a16="http://schemas.microsoft.com/office/drawing/2014/main" id="{417FCA94-0AF7-4786-8E29-CB1A464A4868}"/>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202" name="Text Box 12">
          <a:extLst>
            <a:ext uri="{FF2B5EF4-FFF2-40B4-BE49-F238E27FC236}">
              <a16:creationId xmlns="" xmlns:a16="http://schemas.microsoft.com/office/drawing/2014/main" id="{CDEF0E81-E7C1-4088-AF9C-E5E0C5E98091}"/>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203" name="Text Box 10">
          <a:extLst>
            <a:ext uri="{FF2B5EF4-FFF2-40B4-BE49-F238E27FC236}">
              <a16:creationId xmlns="" xmlns:a16="http://schemas.microsoft.com/office/drawing/2014/main" id="{CC790E23-97E5-4DA0-AC51-E503833ED300}"/>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204" name="Text Box 11">
          <a:extLst>
            <a:ext uri="{FF2B5EF4-FFF2-40B4-BE49-F238E27FC236}">
              <a16:creationId xmlns="" xmlns:a16="http://schemas.microsoft.com/office/drawing/2014/main" id="{DDD88808-0124-485A-9B10-BACF1144004A}"/>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205" name="Text Box 12">
          <a:extLst>
            <a:ext uri="{FF2B5EF4-FFF2-40B4-BE49-F238E27FC236}">
              <a16:creationId xmlns="" xmlns:a16="http://schemas.microsoft.com/office/drawing/2014/main" id="{A093198F-0648-4484-8DA5-DBF611756FE0}"/>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206" name="Text Box 10">
          <a:extLst>
            <a:ext uri="{FF2B5EF4-FFF2-40B4-BE49-F238E27FC236}">
              <a16:creationId xmlns="" xmlns:a16="http://schemas.microsoft.com/office/drawing/2014/main" id="{77686874-0896-40CE-A6FE-16EB81732F6C}"/>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207" name="Text Box 11">
          <a:extLst>
            <a:ext uri="{FF2B5EF4-FFF2-40B4-BE49-F238E27FC236}">
              <a16:creationId xmlns="" xmlns:a16="http://schemas.microsoft.com/office/drawing/2014/main" id="{ACC1AF58-2ECE-4553-A38B-736F825E0CAF}"/>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208" name="Text Box 12">
          <a:extLst>
            <a:ext uri="{FF2B5EF4-FFF2-40B4-BE49-F238E27FC236}">
              <a16:creationId xmlns="" xmlns:a16="http://schemas.microsoft.com/office/drawing/2014/main" id="{AB97218B-4AFE-4C00-BB25-71A03B25E80D}"/>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209" name="Text Box 10">
          <a:extLst>
            <a:ext uri="{FF2B5EF4-FFF2-40B4-BE49-F238E27FC236}">
              <a16:creationId xmlns="" xmlns:a16="http://schemas.microsoft.com/office/drawing/2014/main" id="{C485920E-F5B1-46D8-AC62-A36F2357E7C7}"/>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210" name="Text Box 11">
          <a:extLst>
            <a:ext uri="{FF2B5EF4-FFF2-40B4-BE49-F238E27FC236}">
              <a16:creationId xmlns="" xmlns:a16="http://schemas.microsoft.com/office/drawing/2014/main" id="{700CC09B-8FA0-4045-AC60-BCB36A7F547A}"/>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211" name="Text Box 12">
          <a:extLst>
            <a:ext uri="{FF2B5EF4-FFF2-40B4-BE49-F238E27FC236}">
              <a16:creationId xmlns="" xmlns:a16="http://schemas.microsoft.com/office/drawing/2014/main" id="{732A7D94-7E49-4E64-8B19-1330E7C185A2}"/>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212" name="Text Box 10">
          <a:extLst>
            <a:ext uri="{FF2B5EF4-FFF2-40B4-BE49-F238E27FC236}">
              <a16:creationId xmlns="" xmlns:a16="http://schemas.microsoft.com/office/drawing/2014/main" id="{81CA8219-B430-4E24-90AB-AC1B0166683B}"/>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213" name="Text Box 11">
          <a:extLst>
            <a:ext uri="{FF2B5EF4-FFF2-40B4-BE49-F238E27FC236}">
              <a16:creationId xmlns="" xmlns:a16="http://schemas.microsoft.com/office/drawing/2014/main" id="{E0C444D4-DEA5-4982-9DC5-E1A4B350B978}"/>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214" name="Text Box 12">
          <a:extLst>
            <a:ext uri="{FF2B5EF4-FFF2-40B4-BE49-F238E27FC236}">
              <a16:creationId xmlns="" xmlns:a16="http://schemas.microsoft.com/office/drawing/2014/main" id="{C6F4C37B-5B63-4A32-91BB-6EBCE3FD4279}"/>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215" name="Text Box 10">
          <a:extLst>
            <a:ext uri="{FF2B5EF4-FFF2-40B4-BE49-F238E27FC236}">
              <a16:creationId xmlns="" xmlns:a16="http://schemas.microsoft.com/office/drawing/2014/main" id="{64856386-2FF3-4B4F-98B6-0CD657005ACA}"/>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216" name="Text Box 11">
          <a:extLst>
            <a:ext uri="{FF2B5EF4-FFF2-40B4-BE49-F238E27FC236}">
              <a16:creationId xmlns="" xmlns:a16="http://schemas.microsoft.com/office/drawing/2014/main" id="{AA93FF7B-5ED0-4C49-868D-403A4FD86740}"/>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217" name="Text Box 12">
          <a:extLst>
            <a:ext uri="{FF2B5EF4-FFF2-40B4-BE49-F238E27FC236}">
              <a16:creationId xmlns="" xmlns:a16="http://schemas.microsoft.com/office/drawing/2014/main" id="{AC92E183-B872-43F0-9B28-701C5E1E9221}"/>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218" name="Text Box 10">
          <a:extLst>
            <a:ext uri="{FF2B5EF4-FFF2-40B4-BE49-F238E27FC236}">
              <a16:creationId xmlns="" xmlns:a16="http://schemas.microsoft.com/office/drawing/2014/main" id="{7CEA0463-FAB2-4133-B93E-C1C2EEB78025}"/>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219" name="Text Box 11">
          <a:extLst>
            <a:ext uri="{FF2B5EF4-FFF2-40B4-BE49-F238E27FC236}">
              <a16:creationId xmlns="" xmlns:a16="http://schemas.microsoft.com/office/drawing/2014/main" id="{3BE3D515-CB86-4DC2-84F1-04BEBDBE8DF4}"/>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220" name="Text Box 12">
          <a:extLst>
            <a:ext uri="{FF2B5EF4-FFF2-40B4-BE49-F238E27FC236}">
              <a16:creationId xmlns="" xmlns:a16="http://schemas.microsoft.com/office/drawing/2014/main" id="{526AFC9A-7A87-4F28-9BB1-0AF3D68CF1F8}"/>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85725</xdr:colOff>
      <xdr:row>17</xdr:row>
      <xdr:rowOff>75984</xdr:rowOff>
    </xdr:to>
    <xdr:sp macro="" textlink="">
      <xdr:nvSpPr>
        <xdr:cNvPr id="221" name="Text Box 10">
          <a:extLst>
            <a:ext uri="{FF2B5EF4-FFF2-40B4-BE49-F238E27FC236}">
              <a16:creationId xmlns="" xmlns:a16="http://schemas.microsoft.com/office/drawing/2014/main" id="{52E096DB-F7B7-4293-8C6D-A9ADC5546466}"/>
            </a:ext>
          </a:extLst>
        </xdr:cNvPr>
        <xdr:cNvSpPr txBox="1">
          <a:spLocks noChangeArrowheads="1"/>
        </xdr:cNvSpPr>
      </xdr:nvSpPr>
      <xdr:spPr bwMode="auto">
        <a:xfrm>
          <a:off x="3381375" y="2981325"/>
          <a:ext cx="76200" cy="1783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85725</xdr:colOff>
      <xdr:row>17</xdr:row>
      <xdr:rowOff>75984</xdr:rowOff>
    </xdr:to>
    <xdr:sp macro="" textlink="">
      <xdr:nvSpPr>
        <xdr:cNvPr id="222" name="Text Box 11">
          <a:extLst>
            <a:ext uri="{FF2B5EF4-FFF2-40B4-BE49-F238E27FC236}">
              <a16:creationId xmlns="" xmlns:a16="http://schemas.microsoft.com/office/drawing/2014/main" id="{25DBA48B-6267-4DE2-9818-AAA9BCEE366D}"/>
            </a:ext>
          </a:extLst>
        </xdr:cNvPr>
        <xdr:cNvSpPr txBox="1">
          <a:spLocks noChangeArrowheads="1"/>
        </xdr:cNvSpPr>
      </xdr:nvSpPr>
      <xdr:spPr bwMode="auto">
        <a:xfrm>
          <a:off x="3381375" y="2981325"/>
          <a:ext cx="76200" cy="1783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85725</xdr:colOff>
      <xdr:row>17</xdr:row>
      <xdr:rowOff>75984</xdr:rowOff>
    </xdr:to>
    <xdr:sp macro="" textlink="">
      <xdr:nvSpPr>
        <xdr:cNvPr id="223" name="Text Box 12">
          <a:extLst>
            <a:ext uri="{FF2B5EF4-FFF2-40B4-BE49-F238E27FC236}">
              <a16:creationId xmlns="" xmlns:a16="http://schemas.microsoft.com/office/drawing/2014/main" id="{78C2E16A-47E3-4BA9-8826-1F0FACF41281}"/>
            </a:ext>
          </a:extLst>
        </xdr:cNvPr>
        <xdr:cNvSpPr txBox="1">
          <a:spLocks noChangeArrowheads="1"/>
        </xdr:cNvSpPr>
      </xdr:nvSpPr>
      <xdr:spPr bwMode="auto">
        <a:xfrm>
          <a:off x="3381375" y="2981325"/>
          <a:ext cx="76200" cy="1783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224" name="Text Box 10">
          <a:extLst>
            <a:ext uri="{FF2B5EF4-FFF2-40B4-BE49-F238E27FC236}">
              <a16:creationId xmlns="" xmlns:a16="http://schemas.microsoft.com/office/drawing/2014/main" id="{E9751868-0804-4307-94FE-98AC6553078E}"/>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225" name="Text Box 11">
          <a:extLst>
            <a:ext uri="{FF2B5EF4-FFF2-40B4-BE49-F238E27FC236}">
              <a16:creationId xmlns="" xmlns:a16="http://schemas.microsoft.com/office/drawing/2014/main" id="{1C14A597-51B3-46A1-B1C7-C4432EDA1F98}"/>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226" name="Text Box 12">
          <a:extLst>
            <a:ext uri="{FF2B5EF4-FFF2-40B4-BE49-F238E27FC236}">
              <a16:creationId xmlns="" xmlns:a16="http://schemas.microsoft.com/office/drawing/2014/main" id="{33EB6EB1-2C4D-460C-A1DF-1B74ABB98159}"/>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85725</xdr:colOff>
      <xdr:row>17</xdr:row>
      <xdr:rowOff>75984</xdr:rowOff>
    </xdr:to>
    <xdr:sp macro="" textlink="">
      <xdr:nvSpPr>
        <xdr:cNvPr id="227" name="Text Box 10">
          <a:extLst>
            <a:ext uri="{FF2B5EF4-FFF2-40B4-BE49-F238E27FC236}">
              <a16:creationId xmlns="" xmlns:a16="http://schemas.microsoft.com/office/drawing/2014/main" id="{1180B971-725D-4A97-A962-B7E661B752DE}"/>
            </a:ext>
          </a:extLst>
        </xdr:cNvPr>
        <xdr:cNvSpPr txBox="1">
          <a:spLocks noChangeArrowheads="1"/>
        </xdr:cNvSpPr>
      </xdr:nvSpPr>
      <xdr:spPr bwMode="auto">
        <a:xfrm>
          <a:off x="3381375" y="2981325"/>
          <a:ext cx="76200" cy="1783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85725</xdr:colOff>
      <xdr:row>17</xdr:row>
      <xdr:rowOff>75984</xdr:rowOff>
    </xdr:to>
    <xdr:sp macro="" textlink="">
      <xdr:nvSpPr>
        <xdr:cNvPr id="228" name="Text Box 11">
          <a:extLst>
            <a:ext uri="{FF2B5EF4-FFF2-40B4-BE49-F238E27FC236}">
              <a16:creationId xmlns="" xmlns:a16="http://schemas.microsoft.com/office/drawing/2014/main" id="{53C8F481-31D0-414B-9861-AA51915D3CA1}"/>
            </a:ext>
          </a:extLst>
        </xdr:cNvPr>
        <xdr:cNvSpPr txBox="1">
          <a:spLocks noChangeArrowheads="1"/>
        </xdr:cNvSpPr>
      </xdr:nvSpPr>
      <xdr:spPr bwMode="auto">
        <a:xfrm>
          <a:off x="3381375" y="2981325"/>
          <a:ext cx="76200" cy="1783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85725</xdr:colOff>
      <xdr:row>17</xdr:row>
      <xdr:rowOff>75984</xdr:rowOff>
    </xdr:to>
    <xdr:sp macro="" textlink="">
      <xdr:nvSpPr>
        <xdr:cNvPr id="229" name="Text Box 12">
          <a:extLst>
            <a:ext uri="{FF2B5EF4-FFF2-40B4-BE49-F238E27FC236}">
              <a16:creationId xmlns="" xmlns:a16="http://schemas.microsoft.com/office/drawing/2014/main" id="{E422B820-6B4F-48A2-AE7D-5F1E70A6BC4A}"/>
            </a:ext>
          </a:extLst>
        </xdr:cNvPr>
        <xdr:cNvSpPr txBox="1">
          <a:spLocks noChangeArrowheads="1"/>
        </xdr:cNvSpPr>
      </xdr:nvSpPr>
      <xdr:spPr bwMode="auto">
        <a:xfrm>
          <a:off x="3381375" y="2981325"/>
          <a:ext cx="76200" cy="1783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230" name="Text Box 10">
          <a:extLst>
            <a:ext uri="{FF2B5EF4-FFF2-40B4-BE49-F238E27FC236}">
              <a16:creationId xmlns="" xmlns:a16="http://schemas.microsoft.com/office/drawing/2014/main" id="{6E46614C-30DD-49CE-BA31-1835BA042F76}"/>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231" name="Text Box 11">
          <a:extLst>
            <a:ext uri="{FF2B5EF4-FFF2-40B4-BE49-F238E27FC236}">
              <a16:creationId xmlns="" xmlns:a16="http://schemas.microsoft.com/office/drawing/2014/main" id="{F811EDB7-502A-49D3-A2DF-A9BE6D22744C}"/>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232" name="Text Box 12">
          <a:extLst>
            <a:ext uri="{FF2B5EF4-FFF2-40B4-BE49-F238E27FC236}">
              <a16:creationId xmlns="" xmlns:a16="http://schemas.microsoft.com/office/drawing/2014/main" id="{BEFF8A1A-A241-4B41-AD37-0056A13DC584}"/>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233" name="Text Box 10">
          <a:extLst>
            <a:ext uri="{FF2B5EF4-FFF2-40B4-BE49-F238E27FC236}">
              <a16:creationId xmlns="" xmlns:a16="http://schemas.microsoft.com/office/drawing/2014/main" id="{DC3944D1-CBE7-4700-B73B-A28393FDB1DC}"/>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234" name="Text Box 11">
          <a:extLst>
            <a:ext uri="{FF2B5EF4-FFF2-40B4-BE49-F238E27FC236}">
              <a16:creationId xmlns="" xmlns:a16="http://schemas.microsoft.com/office/drawing/2014/main" id="{27C3AB48-573B-4800-82E5-EE03BEE84EB4}"/>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235" name="Text Box 12">
          <a:extLst>
            <a:ext uri="{FF2B5EF4-FFF2-40B4-BE49-F238E27FC236}">
              <a16:creationId xmlns="" xmlns:a16="http://schemas.microsoft.com/office/drawing/2014/main" id="{F095621F-8EA3-4863-AAD6-0510AF16184F}"/>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236" name="Text Box 10">
          <a:extLst>
            <a:ext uri="{FF2B5EF4-FFF2-40B4-BE49-F238E27FC236}">
              <a16:creationId xmlns="" xmlns:a16="http://schemas.microsoft.com/office/drawing/2014/main" id="{9AD83976-F33E-43A6-AE47-5A79C67E4B71}"/>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237" name="Text Box 11">
          <a:extLst>
            <a:ext uri="{FF2B5EF4-FFF2-40B4-BE49-F238E27FC236}">
              <a16:creationId xmlns="" xmlns:a16="http://schemas.microsoft.com/office/drawing/2014/main" id="{C8FD1463-49F8-4010-A2EC-434846CA8A62}"/>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238" name="Text Box 12">
          <a:extLst>
            <a:ext uri="{FF2B5EF4-FFF2-40B4-BE49-F238E27FC236}">
              <a16:creationId xmlns="" xmlns:a16="http://schemas.microsoft.com/office/drawing/2014/main" id="{A35B97DE-B873-46B5-BA28-C0D442733CAA}"/>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239" name="Text Box 10">
          <a:extLst>
            <a:ext uri="{FF2B5EF4-FFF2-40B4-BE49-F238E27FC236}">
              <a16:creationId xmlns="" xmlns:a16="http://schemas.microsoft.com/office/drawing/2014/main" id="{9E7E355D-CC43-4C1E-BFE9-AC3312B39FB0}"/>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240" name="Text Box 11">
          <a:extLst>
            <a:ext uri="{FF2B5EF4-FFF2-40B4-BE49-F238E27FC236}">
              <a16:creationId xmlns="" xmlns:a16="http://schemas.microsoft.com/office/drawing/2014/main" id="{D06DF161-B873-4CB4-8C17-88971B028C62}"/>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241" name="Text Box 12">
          <a:extLst>
            <a:ext uri="{FF2B5EF4-FFF2-40B4-BE49-F238E27FC236}">
              <a16:creationId xmlns="" xmlns:a16="http://schemas.microsoft.com/office/drawing/2014/main" id="{7C7A57BC-1EF4-434B-8878-4B2F9D497EAA}"/>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242" name="Text Box 10">
          <a:extLst>
            <a:ext uri="{FF2B5EF4-FFF2-40B4-BE49-F238E27FC236}">
              <a16:creationId xmlns="" xmlns:a16="http://schemas.microsoft.com/office/drawing/2014/main" id="{D0910B67-B22F-4B88-8F18-293A2DD845ED}"/>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243" name="Text Box 11">
          <a:extLst>
            <a:ext uri="{FF2B5EF4-FFF2-40B4-BE49-F238E27FC236}">
              <a16:creationId xmlns="" xmlns:a16="http://schemas.microsoft.com/office/drawing/2014/main" id="{399D3713-8644-4E3C-AE2A-E10F6322E0B1}"/>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244" name="Text Box 12">
          <a:extLst>
            <a:ext uri="{FF2B5EF4-FFF2-40B4-BE49-F238E27FC236}">
              <a16:creationId xmlns="" xmlns:a16="http://schemas.microsoft.com/office/drawing/2014/main" id="{C191AA30-4CC8-4E04-B358-E0E92E6BD385}"/>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245" name="Text Box 10">
          <a:extLst>
            <a:ext uri="{FF2B5EF4-FFF2-40B4-BE49-F238E27FC236}">
              <a16:creationId xmlns="" xmlns:a16="http://schemas.microsoft.com/office/drawing/2014/main" id="{E68D3B9C-FDCC-4520-9C87-E4163EC8D1C2}"/>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246" name="Text Box 11">
          <a:extLst>
            <a:ext uri="{FF2B5EF4-FFF2-40B4-BE49-F238E27FC236}">
              <a16:creationId xmlns="" xmlns:a16="http://schemas.microsoft.com/office/drawing/2014/main" id="{82A8A12C-1A1D-49B9-95CB-24974F0151B2}"/>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247" name="Text Box 12">
          <a:extLst>
            <a:ext uri="{FF2B5EF4-FFF2-40B4-BE49-F238E27FC236}">
              <a16:creationId xmlns="" xmlns:a16="http://schemas.microsoft.com/office/drawing/2014/main" id="{08D7AD61-7ED7-497B-9C87-F17D14A7D8EE}"/>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248" name="Text Box 10">
          <a:extLst>
            <a:ext uri="{FF2B5EF4-FFF2-40B4-BE49-F238E27FC236}">
              <a16:creationId xmlns="" xmlns:a16="http://schemas.microsoft.com/office/drawing/2014/main" id="{F11BDDC5-1945-4568-AACF-A83C9DD5D9BD}"/>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249" name="Text Box 11">
          <a:extLst>
            <a:ext uri="{FF2B5EF4-FFF2-40B4-BE49-F238E27FC236}">
              <a16:creationId xmlns="" xmlns:a16="http://schemas.microsoft.com/office/drawing/2014/main" id="{BEB5DB58-E085-4B46-9A19-25C471171D02}"/>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250" name="Text Box 12">
          <a:extLst>
            <a:ext uri="{FF2B5EF4-FFF2-40B4-BE49-F238E27FC236}">
              <a16:creationId xmlns="" xmlns:a16="http://schemas.microsoft.com/office/drawing/2014/main" id="{1478A363-A524-4B55-A5DE-69533D26F260}"/>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251" name="Text Box 10">
          <a:extLst>
            <a:ext uri="{FF2B5EF4-FFF2-40B4-BE49-F238E27FC236}">
              <a16:creationId xmlns="" xmlns:a16="http://schemas.microsoft.com/office/drawing/2014/main" id="{EEB053C1-E041-4187-8F08-758024674DFA}"/>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252" name="Text Box 11">
          <a:extLst>
            <a:ext uri="{FF2B5EF4-FFF2-40B4-BE49-F238E27FC236}">
              <a16:creationId xmlns="" xmlns:a16="http://schemas.microsoft.com/office/drawing/2014/main" id="{D8622DB6-7FC2-47A7-B0BF-DEF9F8998453}"/>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253" name="Text Box 12">
          <a:extLst>
            <a:ext uri="{FF2B5EF4-FFF2-40B4-BE49-F238E27FC236}">
              <a16:creationId xmlns="" xmlns:a16="http://schemas.microsoft.com/office/drawing/2014/main" id="{38AA0601-74C4-483C-8B70-F2E5D146566A}"/>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254" name="Text Box 10">
          <a:extLst>
            <a:ext uri="{FF2B5EF4-FFF2-40B4-BE49-F238E27FC236}">
              <a16:creationId xmlns="" xmlns:a16="http://schemas.microsoft.com/office/drawing/2014/main" id="{C3D74D22-D148-446B-83A3-F845422841EB}"/>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255" name="Text Box 11">
          <a:extLst>
            <a:ext uri="{FF2B5EF4-FFF2-40B4-BE49-F238E27FC236}">
              <a16:creationId xmlns="" xmlns:a16="http://schemas.microsoft.com/office/drawing/2014/main" id="{B5582AAC-7DFD-4C5C-9638-683409E26F37}"/>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256" name="Text Box 12">
          <a:extLst>
            <a:ext uri="{FF2B5EF4-FFF2-40B4-BE49-F238E27FC236}">
              <a16:creationId xmlns="" xmlns:a16="http://schemas.microsoft.com/office/drawing/2014/main" id="{ADCECB85-0473-4FF8-96F9-44B3A0E30959}"/>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257" name="Text Box 10">
          <a:extLst>
            <a:ext uri="{FF2B5EF4-FFF2-40B4-BE49-F238E27FC236}">
              <a16:creationId xmlns="" xmlns:a16="http://schemas.microsoft.com/office/drawing/2014/main" id="{89FE64A8-8112-4FB5-B83C-E8C60F5D98F7}"/>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258" name="Text Box 11">
          <a:extLst>
            <a:ext uri="{FF2B5EF4-FFF2-40B4-BE49-F238E27FC236}">
              <a16:creationId xmlns="" xmlns:a16="http://schemas.microsoft.com/office/drawing/2014/main" id="{1C505531-BB45-4768-9AED-2DC5ADB50722}"/>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259" name="Text Box 12">
          <a:extLst>
            <a:ext uri="{FF2B5EF4-FFF2-40B4-BE49-F238E27FC236}">
              <a16:creationId xmlns="" xmlns:a16="http://schemas.microsoft.com/office/drawing/2014/main" id="{29C343D4-C154-488F-B7AA-24B3E73E8033}"/>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85725</xdr:colOff>
      <xdr:row>17</xdr:row>
      <xdr:rowOff>75984</xdr:rowOff>
    </xdr:to>
    <xdr:sp macro="" textlink="">
      <xdr:nvSpPr>
        <xdr:cNvPr id="260" name="Text Box 10">
          <a:extLst>
            <a:ext uri="{FF2B5EF4-FFF2-40B4-BE49-F238E27FC236}">
              <a16:creationId xmlns="" xmlns:a16="http://schemas.microsoft.com/office/drawing/2014/main" id="{A83F10E6-1257-416C-8702-FB9AA535805A}"/>
            </a:ext>
          </a:extLst>
        </xdr:cNvPr>
        <xdr:cNvSpPr txBox="1">
          <a:spLocks noChangeArrowheads="1"/>
        </xdr:cNvSpPr>
      </xdr:nvSpPr>
      <xdr:spPr bwMode="auto">
        <a:xfrm>
          <a:off x="3381375" y="2981325"/>
          <a:ext cx="76200" cy="1783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85725</xdr:colOff>
      <xdr:row>17</xdr:row>
      <xdr:rowOff>75984</xdr:rowOff>
    </xdr:to>
    <xdr:sp macro="" textlink="">
      <xdr:nvSpPr>
        <xdr:cNvPr id="261" name="Text Box 11">
          <a:extLst>
            <a:ext uri="{FF2B5EF4-FFF2-40B4-BE49-F238E27FC236}">
              <a16:creationId xmlns="" xmlns:a16="http://schemas.microsoft.com/office/drawing/2014/main" id="{4D11CC0E-762B-4744-976C-BA3F7E60FFCC}"/>
            </a:ext>
          </a:extLst>
        </xdr:cNvPr>
        <xdr:cNvSpPr txBox="1">
          <a:spLocks noChangeArrowheads="1"/>
        </xdr:cNvSpPr>
      </xdr:nvSpPr>
      <xdr:spPr bwMode="auto">
        <a:xfrm>
          <a:off x="3381375" y="2981325"/>
          <a:ext cx="76200" cy="1783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85725</xdr:colOff>
      <xdr:row>17</xdr:row>
      <xdr:rowOff>75984</xdr:rowOff>
    </xdr:to>
    <xdr:sp macro="" textlink="">
      <xdr:nvSpPr>
        <xdr:cNvPr id="262" name="Text Box 12">
          <a:extLst>
            <a:ext uri="{FF2B5EF4-FFF2-40B4-BE49-F238E27FC236}">
              <a16:creationId xmlns="" xmlns:a16="http://schemas.microsoft.com/office/drawing/2014/main" id="{E765A7D2-FE9F-4B71-B009-D28700D57324}"/>
            </a:ext>
          </a:extLst>
        </xdr:cNvPr>
        <xdr:cNvSpPr txBox="1">
          <a:spLocks noChangeArrowheads="1"/>
        </xdr:cNvSpPr>
      </xdr:nvSpPr>
      <xdr:spPr bwMode="auto">
        <a:xfrm>
          <a:off x="3381375" y="2981325"/>
          <a:ext cx="76200" cy="1783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85725</xdr:colOff>
      <xdr:row>17</xdr:row>
      <xdr:rowOff>75984</xdr:rowOff>
    </xdr:to>
    <xdr:sp macro="" textlink="">
      <xdr:nvSpPr>
        <xdr:cNvPr id="263" name="Text Box 10">
          <a:extLst>
            <a:ext uri="{FF2B5EF4-FFF2-40B4-BE49-F238E27FC236}">
              <a16:creationId xmlns="" xmlns:a16="http://schemas.microsoft.com/office/drawing/2014/main" id="{E29FEDA9-2519-42AF-9B6A-B5B23181F990}"/>
            </a:ext>
          </a:extLst>
        </xdr:cNvPr>
        <xdr:cNvSpPr txBox="1">
          <a:spLocks noChangeArrowheads="1"/>
        </xdr:cNvSpPr>
      </xdr:nvSpPr>
      <xdr:spPr bwMode="auto">
        <a:xfrm>
          <a:off x="3381375" y="2981325"/>
          <a:ext cx="76200" cy="1783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85725</xdr:colOff>
      <xdr:row>17</xdr:row>
      <xdr:rowOff>75984</xdr:rowOff>
    </xdr:to>
    <xdr:sp macro="" textlink="">
      <xdr:nvSpPr>
        <xdr:cNvPr id="264" name="Text Box 11">
          <a:extLst>
            <a:ext uri="{FF2B5EF4-FFF2-40B4-BE49-F238E27FC236}">
              <a16:creationId xmlns="" xmlns:a16="http://schemas.microsoft.com/office/drawing/2014/main" id="{7CB4BEDE-EEE6-4593-8400-F014F8DF522E}"/>
            </a:ext>
          </a:extLst>
        </xdr:cNvPr>
        <xdr:cNvSpPr txBox="1">
          <a:spLocks noChangeArrowheads="1"/>
        </xdr:cNvSpPr>
      </xdr:nvSpPr>
      <xdr:spPr bwMode="auto">
        <a:xfrm>
          <a:off x="3381375" y="2981325"/>
          <a:ext cx="76200" cy="1783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85725</xdr:colOff>
      <xdr:row>17</xdr:row>
      <xdr:rowOff>75984</xdr:rowOff>
    </xdr:to>
    <xdr:sp macro="" textlink="">
      <xdr:nvSpPr>
        <xdr:cNvPr id="265" name="Text Box 12">
          <a:extLst>
            <a:ext uri="{FF2B5EF4-FFF2-40B4-BE49-F238E27FC236}">
              <a16:creationId xmlns="" xmlns:a16="http://schemas.microsoft.com/office/drawing/2014/main" id="{557424CC-75E9-4668-88BB-9DAB10119F48}"/>
            </a:ext>
          </a:extLst>
        </xdr:cNvPr>
        <xdr:cNvSpPr txBox="1">
          <a:spLocks noChangeArrowheads="1"/>
        </xdr:cNvSpPr>
      </xdr:nvSpPr>
      <xdr:spPr bwMode="auto">
        <a:xfrm>
          <a:off x="3381375" y="2981325"/>
          <a:ext cx="76200" cy="1783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266" name="Text Box 10">
          <a:extLst>
            <a:ext uri="{FF2B5EF4-FFF2-40B4-BE49-F238E27FC236}">
              <a16:creationId xmlns="" xmlns:a16="http://schemas.microsoft.com/office/drawing/2014/main" id="{ACB4CCE7-051D-4407-9D78-5E451C0C4261}"/>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267" name="Text Box 11">
          <a:extLst>
            <a:ext uri="{FF2B5EF4-FFF2-40B4-BE49-F238E27FC236}">
              <a16:creationId xmlns="" xmlns:a16="http://schemas.microsoft.com/office/drawing/2014/main" id="{F841AA2C-7736-40B2-81A7-79DD2308128C}"/>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268" name="Text Box 12">
          <a:extLst>
            <a:ext uri="{FF2B5EF4-FFF2-40B4-BE49-F238E27FC236}">
              <a16:creationId xmlns="" xmlns:a16="http://schemas.microsoft.com/office/drawing/2014/main" id="{7C7F3E73-6A73-4E49-ACD0-252B50FA7301}"/>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269" name="Text Box 10">
          <a:extLst>
            <a:ext uri="{FF2B5EF4-FFF2-40B4-BE49-F238E27FC236}">
              <a16:creationId xmlns="" xmlns:a16="http://schemas.microsoft.com/office/drawing/2014/main" id="{BD95F097-EEBE-4202-8E04-686E01980227}"/>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270" name="Text Box 11">
          <a:extLst>
            <a:ext uri="{FF2B5EF4-FFF2-40B4-BE49-F238E27FC236}">
              <a16:creationId xmlns="" xmlns:a16="http://schemas.microsoft.com/office/drawing/2014/main" id="{24B978FF-6D87-43DF-A924-DC8958205F6D}"/>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271" name="Text Box 12">
          <a:extLst>
            <a:ext uri="{FF2B5EF4-FFF2-40B4-BE49-F238E27FC236}">
              <a16:creationId xmlns="" xmlns:a16="http://schemas.microsoft.com/office/drawing/2014/main" id="{11F5E3FA-AEB8-4C79-B952-E866FB1094B9}"/>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272" name="Text Box 10">
          <a:extLst>
            <a:ext uri="{FF2B5EF4-FFF2-40B4-BE49-F238E27FC236}">
              <a16:creationId xmlns="" xmlns:a16="http://schemas.microsoft.com/office/drawing/2014/main" id="{4957F178-40D2-4970-8E8F-7776EE5E77CC}"/>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273" name="Text Box 11">
          <a:extLst>
            <a:ext uri="{FF2B5EF4-FFF2-40B4-BE49-F238E27FC236}">
              <a16:creationId xmlns="" xmlns:a16="http://schemas.microsoft.com/office/drawing/2014/main" id="{71E7AF90-6498-4B48-AEA4-F8D59286A70D}"/>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274" name="Text Box 12">
          <a:extLst>
            <a:ext uri="{FF2B5EF4-FFF2-40B4-BE49-F238E27FC236}">
              <a16:creationId xmlns="" xmlns:a16="http://schemas.microsoft.com/office/drawing/2014/main" id="{2CC4C5A7-8800-4051-AD23-11D2F5CE5557}"/>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275" name="Text Box 10">
          <a:extLst>
            <a:ext uri="{FF2B5EF4-FFF2-40B4-BE49-F238E27FC236}">
              <a16:creationId xmlns="" xmlns:a16="http://schemas.microsoft.com/office/drawing/2014/main" id="{46789BFF-4A0E-4DB0-83F8-10C66C4F62D1}"/>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276" name="Text Box 11">
          <a:extLst>
            <a:ext uri="{FF2B5EF4-FFF2-40B4-BE49-F238E27FC236}">
              <a16:creationId xmlns="" xmlns:a16="http://schemas.microsoft.com/office/drawing/2014/main" id="{A4777672-4BDC-492E-82F1-F163C9716256}"/>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277" name="Text Box 12">
          <a:extLst>
            <a:ext uri="{FF2B5EF4-FFF2-40B4-BE49-F238E27FC236}">
              <a16:creationId xmlns="" xmlns:a16="http://schemas.microsoft.com/office/drawing/2014/main" id="{0A575168-B817-461D-B10B-7171C9BCE20F}"/>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278" name="Text Box 10">
          <a:extLst>
            <a:ext uri="{FF2B5EF4-FFF2-40B4-BE49-F238E27FC236}">
              <a16:creationId xmlns="" xmlns:a16="http://schemas.microsoft.com/office/drawing/2014/main" id="{71F3B555-F6D6-48A8-AC7A-C8D4FABB63D7}"/>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279" name="Text Box 11">
          <a:extLst>
            <a:ext uri="{FF2B5EF4-FFF2-40B4-BE49-F238E27FC236}">
              <a16:creationId xmlns="" xmlns:a16="http://schemas.microsoft.com/office/drawing/2014/main" id="{80D4AB21-6BEA-4A07-9A6D-CCE51412DDF9}"/>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280" name="Text Box 12">
          <a:extLst>
            <a:ext uri="{FF2B5EF4-FFF2-40B4-BE49-F238E27FC236}">
              <a16:creationId xmlns="" xmlns:a16="http://schemas.microsoft.com/office/drawing/2014/main" id="{FF9E4BC7-7779-4ADD-B884-A0F5EF098228}"/>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281" name="Text Box 10">
          <a:extLst>
            <a:ext uri="{FF2B5EF4-FFF2-40B4-BE49-F238E27FC236}">
              <a16:creationId xmlns="" xmlns:a16="http://schemas.microsoft.com/office/drawing/2014/main" id="{AC4679C4-79EA-4F33-8AE8-B628A544B4A7}"/>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282" name="Text Box 11">
          <a:extLst>
            <a:ext uri="{FF2B5EF4-FFF2-40B4-BE49-F238E27FC236}">
              <a16:creationId xmlns="" xmlns:a16="http://schemas.microsoft.com/office/drawing/2014/main" id="{7AAE7FB5-C5C8-440E-9B01-CED0AB211C65}"/>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283" name="Text Box 12">
          <a:extLst>
            <a:ext uri="{FF2B5EF4-FFF2-40B4-BE49-F238E27FC236}">
              <a16:creationId xmlns="" xmlns:a16="http://schemas.microsoft.com/office/drawing/2014/main" id="{E3AAC7DE-4EAC-46C3-A6B8-5E167F34BAE4}"/>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284" name="Text Box 10">
          <a:extLst>
            <a:ext uri="{FF2B5EF4-FFF2-40B4-BE49-F238E27FC236}">
              <a16:creationId xmlns="" xmlns:a16="http://schemas.microsoft.com/office/drawing/2014/main" id="{74D65E26-0681-4E0F-8156-39FA280F5BD6}"/>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285" name="Text Box 11">
          <a:extLst>
            <a:ext uri="{FF2B5EF4-FFF2-40B4-BE49-F238E27FC236}">
              <a16:creationId xmlns="" xmlns:a16="http://schemas.microsoft.com/office/drawing/2014/main" id="{5F8F7E0F-5DDA-427A-AFC6-7C7C4F0689D4}"/>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286" name="Text Box 12">
          <a:extLst>
            <a:ext uri="{FF2B5EF4-FFF2-40B4-BE49-F238E27FC236}">
              <a16:creationId xmlns="" xmlns:a16="http://schemas.microsoft.com/office/drawing/2014/main" id="{8C6C809C-BCF2-41C8-931A-E04BD10FA471}"/>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287" name="Text Box 10">
          <a:extLst>
            <a:ext uri="{FF2B5EF4-FFF2-40B4-BE49-F238E27FC236}">
              <a16:creationId xmlns="" xmlns:a16="http://schemas.microsoft.com/office/drawing/2014/main" id="{B8108F9F-938B-4104-91EF-8A3AE2B5B594}"/>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288" name="Text Box 11">
          <a:extLst>
            <a:ext uri="{FF2B5EF4-FFF2-40B4-BE49-F238E27FC236}">
              <a16:creationId xmlns="" xmlns:a16="http://schemas.microsoft.com/office/drawing/2014/main" id="{5EC4D939-A799-4086-B2F9-CE4E91AA2BFC}"/>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289" name="Text Box 12">
          <a:extLst>
            <a:ext uri="{FF2B5EF4-FFF2-40B4-BE49-F238E27FC236}">
              <a16:creationId xmlns="" xmlns:a16="http://schemas.microsoft.com/office/drawing/2014/main" id="{D4C8A9E2-9374-4AB0-A27F-046B966D7C55}"/>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290" name="Text Box 10">
          <a:extLst>
            <a:ext uri="{FF2B5EF4-FFF2-40B4-BE49-F238E27FC236}">
              <a16:creationId xmlns="" xmlns:a16="http://schemas.microsoft.com/office/drawing/2014/main" id="{8262C034-2DB6-4474-95AC-C35633849740}"/>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291" name="Text Box 11">
          <a:extLst>
            <a:ext uri="{FF2B5EF4-FFF2-40B4-BE49-F238E27FC236}">
              <a16:creationId xmlns="" xmlns:a16="http://schemas.microsoft.com/office/drawing/2014/main" id="{8C0644F9-ACC2-4192-9422-5FACE8711884}"/>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292" name="Text Box 12">
          <a:extLst>
            <a:ext uri="{FF2B5EF4-FFF2-40B4-BE49-F238E27FC236}">
              <a16:creationId xmlns="" xmlns:a16="http://schemas.microsoft.com/office/drawing/2014/main" id="{8A2B8318-F4CF-4D2C-AEEC-1333B12BBC6B}"/>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293" name="Text Box 10">
          <a:extLst>
            <a:ext uri="{FF2B5EF4-FFF2-40B4-BE49-F238E27FC236}">
              <a16:creationId xmlns="" xmlns:a16="http://schemas.microsoft.com/office/drawing/2014/main" id="{1FB9E6FE-0978-414C-B878-BE4ABAA00D92}"/>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294" name="Text Box 11">
          <a:extLst>
            <a:ext uri="{FF2B5EF4-FFF2-40B4-BE49-F238E27FC236}">
              <a16:creationId xmlns="" xmlns:a16="http://schemas.microsoft.com/office/drawing/2014/main" id="{01128BB6-99A0-4C58-9CB2-D46F801FA536}"/>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295" name="Text Box 12">
          <a:extLst>
            <a:ext uri="{FF2B5EF4-FFF2-40B4-BE49-F238E27FC236}">
              <a16:creationId xmlns="" xmlns:a16="http://schemas.microsoft.com/office/drawing/2014/main" id="{753FF658-93D5-479F-8E2F-2E4476FED349}"/>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296" name="Text Box 10">
          <a:extLst>
            <a:ext uri="{FF2B5EF4-FFF2-40B4-BE49-F238E27FC236}">
              <a16:creationId xmlns="" xmlns:a16="http://schemas.microsoft.com/office/drawing/2014/main" id="{04EA1A63-00EA-4DEC-822D-1D28E6536128}"/>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297" name="Text Box 11">
          <a:extLst>
            <a:ext uri="{FF2B5EF4-FFF2-40B4-BE49-F238E27FC236}">
              <a16:creationId xmlns="" xmlns:a16="http://schemas.microsoft.com/office/drawing/2014/main" id="{B6DCE9DE-BB3A-418F-B31B-8F51FF85647E}"/>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298" name="Text Box 12">
          <a:extLst>
            <a:ext uri="{FF2B5EF4-FFF2-40B4-BE49-F238E27FC236}">
              <a16:creationId xmlns="" xmlns:a16="http://schemas.microsoft.com/office/drawing/2014/main" id="{6ECF0A91-9E41-407A-BEC0-A5F6509DE90C}"/>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299" name="Text Box 10">
          <a:extLst>
            <a:ext uri="{FF2B5EF4-FFF2-40B4-BE49-F238E27FC236}">
              <a16:creationId xmlns="" xmlns:a16="http://schemas.microsoft.com/office/drawing/2014/main" id="{5ED959FB-1734-4A33-8639-64E6AD80CB07}"/>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300" name="Text Box 11">
          <a:extLst>
            <a:ext uri="{FF2B5EF4-FFF2-40B4-BE49-F238E27FC236}">
              <a16:creationId xmlns="" xmlns:a16="http://schemas.microsoft.com/office/drawing/2014/main" id="{596071A3-0501-4180-A9BB-C29BC23B5204}"/>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301" name="Text Box 12">
          <a:extLst>
            <a:ext uri="{FF2B5EF4-FFF2-40B4-BE49-F238E27FC236}">
              <a16:creationId xmlns="" xmlns:a16="http://schemas.microsoft.com/office/drawing/2014/main" id="{565B72F7-9AFC-42D6-8691-96AEE7B5B0E0}"/>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302" name="Text Box 10">
          <a:extLst>
            <a:ext uri="{FF2B5EF4-FFF2-40B4-BE49-F238E27FC236}">
              <a16:creationId xmlns="" xmlns:a16="http://schemas.microsoft.com/office/drawing/2014/main" id="{8BBD5904-4B04-4C01-A758-B2885E80A1F0}"/>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303" name="Text Box 11">
          <a:extLst>
            <a:ext uri="{FF2B5EF4-FFF2-40B4-BE49-F238E27FC236}">
              <a16:creationId xmlns="" xmlns:a16="http://schemas.microsoft.com/office/drawing/2014/main" id="{E069937C-4E16-43EB-ABF9-916935DDB5CE}"/>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304" name="Text Box 12">
          <a:extLst>
            <a:ext uri="{FF2B5EF4-FFF2-40B4-BE49-F238E27FC236}">
              <a16:creationId xmlns="" xmlns:a16="http://schemas.microsoft.com/office/drawing/2014/main" id="{5981DA89-714B-433B-B940-D5E202D20F8D}"/>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305" name="Text Box 10">
          <a:extLst>
            <a:ext uri="{FF2B5EF4-FFF2-40B4-BE49-F238E27FC236}">
              <a16:creationId xmlns="" xmlns:a16="http://schemas.microsoft.com/office/drawing/2014/main" id="{086D8E37-76F0-4F64-9C36-CA29E6DB56B6}"/>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306" name="Text Box 11">
          <a:extLst>
            <a:ext uri="{FF2B5EF4-FFF2-40B4-BE49-F238E27FC236}">
              <a16:creationId xmlns="" xmlns:a16="http://schemas.microsoft.com/office/drawing/2014/main" id="{0ABF5791-AEC1-45F4-9813-BD81CD1C4303}"/>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307" name="Text Box 12">
          <a:extLst>
            <a:ext uri="{FF2B5EF4-FFF2-40B4-BE49-F238E27FC236}">
              <a16:creationId xmlns="" xmlns:a16="http://schemas.microsoft.com/office/drawing/2014/main" id="{B1290CA4-2EA2-4BFB-819F-EB790AEEF56B}"/>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308" name="Text Box 10">
          <a:extLst>
            <a:ext uri="{FF2B5EF4-FFF2-40B4-BE49-F238E27FC236}">
              <a16:creationId xmlns="" xmlns:a16="http://schemas.microsoft.com/office/drawing/2014/main" id="{4A84F1E0-1B57-4099-B04F-99AA41384D07}"/>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309" name="Text Box 11">
          <a:extLst>
            <a:ext uri="{FF2B5EF4-FFF2-40B4-BE49-F238E27FC236}">
              <a16:creationId xmlns="" xmlns:a16="http://schemas.microsoft.com/office/drawing/2014/main" id="{E7BA5665-D7D8-49ED-A6B6-42A48FD26890}"/>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310" name="Text Box 12">
          <a:extLst>
            <a:ext uri="{FF2B5EF4-FFF2-40B4-BE49-F238E27FC236}">
              <a16:creationId xmlns="" xmlns:a16="http://schemas.microsoft.com/office/drawing/2014/main" id="{E8433B54-B4CB-4F58-A1BC-97B15B1AF7F3}"/>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311" name="Text Box 10">
          <a:extLst>
            <a:ext uri="{FF2B5EF4-FFF2-40B4-BE49-F238E27FC236}">
              <a16:creationId xmlns="" xmlns:a16="http://schemas.microsoft.com/office/drawing/2014/main" id="{C52B0906-ACD2-4078-B02B-1AB1B6ECED78}"/>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312" name="Text Box 11">
          <a:extLst>
            <a:ext uri="{FF2B5EF4-FFF2-40B4-BE49-F238E27FC236}">
              <a16:creationId xmlns="" xmlns:a16="http://schemas.microsoft.com/office/drawing/2014/main" id="{FB487A7C-5034-4529-B4F6-61F45815FAE3}"/>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313" name="Text Box 12">
          <a:extLst>
            <a:ext uri="{FF2B5EF4-FFF2-40B4-BE49-F238E27FC236}">
              <a16:creationId xmlns="" xmlns:a16="http://schemas.microsoft.com/office/drawing/2014/main" id="{E54741AD-DEC5-41BA-A78B-240C9E7C9178}"/>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314" name="Text Box 10">
          <a:extLst>
            <a:ext uri="{FF2B5EF4-FFF2-40B4-BE49-F238E27FC236}">
              <a16:creationId xmlns="" xmlns:a16="http://schemas.microsoft.com/office/drawing/2014/main" id="{A4D27258-9359-4CA2-B524-CA478D78360B}"/>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315" name="Text Box 11">
          <a:extLst>
            <a:ext uri="{FF2B5EF4-FFF2-40B4-BE49-F238E27FC236}">
              <a16:creationId xmlns="" xmlns:a16="http://schemas.microsoft.com/office/drawing/2014/main" id="{78D62E10-984E-4A70-969F-05F5DD407E0A}"/>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316" name="Text Box 12">
          <a:extLst>
            <a:ext uri="{FF2B5EF4-FFF2-40B4-BE49-F238E27FC236}">
              <a16:creationId xmlns="" xmlns:a16="http://schemas.microsoft.com/office/drawing/2014/main" id="{A15D45D9-2D7F-4A6E-A078-E13F7AAC725C}"/>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317" name="Text Box 10">
          <a:extLst>
            <a:ext uri="{FF2B5EF4-FFF2-40B4-BE49-F238E27FC236}">
              <a16:creationId xmlns="" xmlns:a16="http://schemas.microsoft.com/office/drawing/2014/main" id="{4D14C0EF-780C-472E-9FF8-9AF4109878C3}"/>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318" name="Text Box 11">
          <a:extLst>
            <a:ext uri="{FF2B5EF4-FFF2-40B4-BE49-F238E27FC236}">
              <a16:creationId xmlns="" xmlns:a16="http://schemas.microsoft.com/office/drawing/2014/main" id="{71FA09EA-E075-41F6-A1C9-B3BD0B30CADA}"/>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319" name="Text Box 12">
          <a:extLst>
            <a:ext uri="{FF2B5EF4-FFF2-40B4-BE49-F238E27FC236}">
              <a16:creationId xmlns="" xmlns:a16="http://schemas.microsoft.com/office/drawing/2014/main" id="{5F986D31-A772-45A9-BFF8-70F2C66E8664}"/>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320" name="Text Box 10">
          <a:extLst>
            <a:ext uri="{FF2B5EF4-FFF2-40B4-BE49-F238E27FC236}">
              <a16:creationId xmlns="" xmlns:a16="http://schemas.microsoft.com/office/drawing/2014/main" id="{319BF4CA-EA56-4E79-B360-D98E17B5DC6F}"/>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321" name="Text Box 11">
          <a:extLst>
            <a:ext uri="{FF2B5EF4-FFF2-40B4-BE49-F238E27FC236}">
              <a16:creationId xmlns="" xmlns:a16="http://schemas.microsoft.com/office/drawing/2014/main" id="{C9C09BD0-5280-4DA9-8408-165E280E597E}"/>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322" name="Text Box 12">
          <a:extLst>
            <a:ext uri="{FF2B5EF4-FFF2-40B4-BE49-F238E27FC236}">
              <a16:creationId xmlns="" xmlns:a16="http://schemas.microsoft.com/office/drawing/2014/main" id="{20B0214E-DAF2-4D11-9678-0F192E809EAD}"/>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323" name="Text Box 10">
          <a:extLst>
            <a:ext uri="{FF2B5EF4-FFF2-40B4-BE49-F238E27FC236}">
              <a16:creationId xmlns="" xmlns:a16="http://schemas.microsoft.com/office/drawing/2014/main" id="{D8EAAC8C-9B8B-4858-8BD3-41432207F77C}"/>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324" name="Text Box 11">
          <a:extLst>
            <a:ext uri="{FF2B5EF4-FFF2-40B4-BE49-F238E27FC236}">
              <a16:creationId xmlns="" xmlns:a16="http://schemas.microsoft.com/office/drawing/2014/main" id="{E5FE5DAA-A207-4832-B6E6-9CC0D6976908}"/>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325" name="Text Box 12">
          <a:extLst>
            <a:ext uri="{FF2B5EF4-FFF2-40B4-BE49-F238E27FC236}">
              <a16:creationId xmlns="" xmlns:a16="http://schemas.microsoft.com/office/drawing/2014/main" id="{32C302F0-1E3B-4133-8BDF-A1CA4386988A}"/>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326" name="Text Box 10">
          <a:extLst>
            <a:ext uri="{FF2B5EF4-FFF2-40B4-BE49-F238E27FC236}">
              <a16:creationId xmlns="" xmlns:a16="http://schemas.microsoft.com/office/drawing/2014/main" id="{50C8A0FE-DCBF-41A7-9E4B-DCA87B85A70C}"/>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327" name="Text Box 11">
          <a:extLst>
            <a:ext uri="{FF2B5EF4-FFF2-40B4-BE49-F238E27FC236}">
              <a16:creationId xmlns="" xmlns:a16="http://schemas.microsoft.com/office/drawing/2014/main" id="{29474D66-47D0-4AE9-A733-4E3F475DE388}"/>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328" name="Text Box 12">
          <a:extLst>
            <a:ext uri="{FF2B5EF4-FFF2-40B4-BE49-F238E27FC236}">
              <a16:creationId xmlns="" xmlns:a16="http://schemas.microsoft.com/office/drawing/2014/main" id="{15F942C6-C195-4719-9DC4-C22253506F87}"/>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329" name="Text Box 10">
          <a:extLst>
            <a:ext uri="{FF2B5EF4-FFF2-40B4-BE49-F238E27FC236}">
              <a16:creationId xmlns="" xmlns:a16="http://schemas.microsoft.com/office/drawing/2014/main" id="{4E15CCF7-B972-4088-9F61-5ED12EA6E268}"/>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330" name="Text Box 11">
          <a:extLst>
            <a:ext uri="{FF2B5EF4-FFF2-40B4-BE49-F238E27FC236}">
              <a16:creationId xmlns="" xmlns:a16="http://schemas.microsoft.com/office/drawing/2014/main" id="{45CE70F8-37BB-4BE7-A1C9-244D328C1AB6}"/>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331" name="Text Box 12">
          <a:extLst>
            <a:ext uri="{FF2B5EF4-FFF2-40B4-BE49-F238E27FC236}">
              <a16:creationId xmlns="" xmlns:a16="http://schemas.microsoft.com/office/drawing/2014/main" id="{327839DB-BBD2-4259-BBF0-75348D1132B1}"/>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332" name="Text Box 10">
          <a:extLst>
            <a:ext uri="{FF2B5EF4-FFF2-40B4-BE49-F238E27FC236}">
              <a16:creationId xmlns="" xmlns:a16="http://schemas.microsoft.com/office/drawing/2014/main" id="{31D60060-D17A-4C02-AA35-119B731103E5}"/>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333" name="Text Box 11">
          <a:extLst>
            <a:ext uri="{FF2B5EF4-FFF2-40B4-BE49-F238E27FC236}">
              <a16:creationId xmlns="" xmlns:a16="http://schemas.microsoft.com/office/drawing/2014/main" id="{9C879BD9-6290-48DB-8FFA-AD7F64EDC6EB}"/>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334" name="Text Box 12">
          <a:extLst>
            <a:ext uri="{FF2B5EF4-FFF2-40B4-BE49-F238E27FC236}">
              <a16:creationId xmlns="" xmlns:a16="http://schemas.microsoft.com/office/drawing/2014/main" id="{689975EF-FF8C-4906-BD2B-EC448F303BF0}"/>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335" name="Text Box 10">
          <a:extLst>
            <a:ext uri="{FF2B5EF4-FFF2-40B4-BE49-F238E27FC236}">
              <a16:creationId xmlns="" xmlns:a16="http://schemas.microsoft.com/office/drawing/2014/main" id="{F8ACC539-CEAC-44E8-8D16-1D95ACD9D659}"/>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336" name="Text Box 11">
          <a:extLst>
            <a:ext uri="{FF2B5EF4-FFF2-40B4-BE49-F238E27FC236}">
              <a16:creationId xmlns="" xmlns:a16="http://schemas.microsoft.com/office/drawing/2014/main" id="{0678CB2A-3B43-4017-BE0A-75EA4A5024E9}"/>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337" name="Text Box 12">
          <a:extLst>
            <a:ext uri="{FF2B5EF4-FFF2-40B4-BE49-F238E27FC236}">
              <a16:creationId xmlns="" xmlns:a16="http://schemas.microsoft.com/office/drawing/2014/main" id="{7CF7CF89-CD64-4040-AD0C-CB293B76D23B}"/>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338" name="Text Box 10">
          <a:extLst>
            <a:ext uri="{FF2B5EF4-FFF2-40B4-BE49-F238E27FC236}">
              <a16:creationId xmlns="" xmlns:a16="http://schemas.microsoft.com/office/drawing/2014/main" id="{00B6AB6D-5631-4934-89DD-B50593565B74}"/>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339" name="Text Box 11">
          <a:extLst>
            <a:ext uri="{FF2B5EF4-FFF2-40B4-BE49-F238E27FC236}">
              <a16:creationId xmlns="" xmlns:a16="http://schemas.microsoft.com/office/drawing/2014/main" id="{7692692A-D1B3-4DDA-9533-29CAEC4530BD}"/>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340" name="Text Box 12">
          <a:extLst>
            <a:ext uri="{FF2B5EF4-FFF2-40B4-BE49-F238E27FC236}">
              <a16:creationId xmlns="" xmlns:a16="http://schemas.microsoft.com/office/drawing/2014/main" id="{D23717A2-C2B3-4FA9-B76E-D9152A0CC117}"/>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341" name="Text Box 10">
          <a:extLst>
            <a:ext uri="{FF2B5EF4-FFF2-40B4-BE49-F238E27FC236}">
              <a16:creationId xmlns="" xmlns:a16="http://schemas.microsoft.com/office/drawing/2014/main" id="{2B2C885C-45B8-458C-9649-7623C47EE90C}"/>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342" name="Text Box 11">
          <a:extLst>
            <a:ext uri="{FF2B5EF4-FFF2-40B4-BE49-F238E27FC236}">
              <a16:creationId xmlns="" xmlns:a16="http://schemas.microsoft.com/office/drawing/2014/main" id="{FE36D539-8736-4EBB-BC70-D0C2224B5D87}"/>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343" name="Text Box 12">
          <a:extLst>
            <a:ext uri="{FF2B5EF4-FFF2-40B4-BE49-F238E27FC236}">
              <a16:creationId xmlns="" xmlns:a16="http://schemas.microsoft.com/office/drawing/2014/main" id="{8DFCF247-527F-435D-BA80-039C309F6EB6}"/>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344" name="Text Box 10">
          <a:extLst>
            <a:ext uri="{FF2B5EF4-FFF2-40B4-BE49-F238E27FC236}">
              <a16:creationId xmlns="" xmlns:a16="http://schemas.microsoft.com/office/drawing/2014/main" id="{6351514A-A6F5-4BC1-B8C0-39138B427092}"/>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345" name="Text Box 11">
          <a:extLst>
            <a:ext uri="{FF2B5EF4-FFF2-40B4-BE49-F238E27FC236}">
              <a16:creationId xmlns="" xmlns:a16="http://schemas.microsoft.com/office/drawing/2014/main" id="{A11F5B37-E969-4DE1-91DE-F5F83F00468E}"/>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346" name="Text Box 12">
          <a:extLst>
            <a:ext uri="{FF2B5EF4-FFF2-40B4-BE49-F238E27FC236}">
              <a16:creationId xmlns="" xmlns:a16="http://schemas.microsoft.com/office/drawing/2014/main" id="{3DF3BEFD-BD28-4318-A30D-E375FEED790C}"/>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347" name="Text Box 10">
          <a:extLst>
            <a:ext uri="{FF2B5EF4-FFF2-40B4-BE49-F238E27FC236}">
              <a16:creationId xmlns="" xmlns:a16="http://schemas.microsoft.com/office/drawing/2014/main" id="{A093C9A8-FCB5-41F0-B905-033F523198B8}"/>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348" name="Text Box 11">
          <a:extLst>
            <a:ext uri="{FF2B5EF4-FFF2-40B4-BE49-F238E27FC236}">
              <a16:creationId xmlns="" xmlns:a16="http://schemas.microsoft.com/office/drawing/2014/main" id="{0AB07612-C668-44CD-B576-8E8ACBA240F0}"/>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349" name="Text Box 12">
          <a:extLst>
            <a:ext uri="{FF2B5EF4-FFF2-40B4-BE49-F238E27FC236}">
              <a16:creationId xmlns="" xmlns:a16="http://schemas.microsoft.com/office/drawing/2014/main" id="{3EB3476C-EE3D-430D-9F8F-2A7B51177C62}"/>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350" name="Text Box 10">
          <a:extLst>
            <a:ext uri="{FF2B5EF4-FFF2-40B4-BE49-F238E27FC236}">
              <a16:creationId xmlns="" xmlns:a16="http://schemas.microsoft.com/office/drawing/2014/main" id="{540F598E-7BD3-47CE-8666-EEB096A0A40B}"/>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351" name="Text Box 11">
          <a:extLst>
            <a:ext uri="{FF2B5EF4-FFF2-40B4-BE49-F238E27FC236}">
              <a16:creationId xmlns="" xmlns:a16="http://schemas.microsoft.com/office/drawing/2014/main" id="{22AFFEC3-52C8-4199-95AF-BAF6AABA3D7B}"/>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352" name="Text Box 12">
          <a:extLst>
            <a:ext uri="{FF2B5EF4-FFF2-40B4-BE49-F238E27FC236}">
              <a16:creationId xmlns="" xmlns:a16="http://schemas.microsoft.com/office/drawing/2014/main" id="{B0F1BF3B-7A49-4AD2-AC1E-30113255A29F}"/>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353" name="Text Box 10">
          <a:extLst>
            <a:ext uri="{FF2B5EF4-FFF2-40B4-BE49-F238E27FC236}">
              <a16:creationId xmlns="" xmlns:a16="http://schemas.microsoft.com/office/drawing/2014/main" id="{979F5867-EFFA-4638-B95D-D1D7D6EDD84E}"/>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354" name="Text Box 11">
          <a:extLst>
            <a:ext uri="{FF2B5EF4-FFF2-40B4-BE49-F238E27FC236}">
              <a16:creationId xmlns="" xmlns:a16="http://schemas.microsoft.com/office/drawing/2014/main" id="{1AF7CF9E-A6E8-4739-93F9-D39B0522AA35}"/>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355" name="Text Box 12">
          <a:extLst>
            <a:ext uri="{FF2B5EF4-FFF2-40B4-BE49-F238E27FC236}">
              <a16:creationId xmlns="" xmlns:a16="http://schemas.microsoft.com/office/drawing/2014/main" id="{1BED4E47-0DBC-40E2-8E8B-36D948C3800E}"/>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356" name="Text Box 10">
          <a:extLst>
            <a:ext uri="{FF2B5EF4-FFF2-40B4-BE49-F238E27FC236}">
              <a16:creationId xmlns="" xmlns:a16="http://schemas.microsoft.com/office/drawing/2014/main" id="{BE1D68C1-1615-47CB-BB91-2CDD39000F5E}"/>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357" name="Text Box 11">
          <a:extLst>
            <a:ext uri="{FF2B5EF4-FFF2-40B4-BE49-F238E27FC236}">
              <a16:creationId xmlns="" xmlns:a16="http://schemas.microsoft.com/office/drawing/2014/main" id="{C1E6C8BB-04AA-4F1C-90FE-D8317A2F20A3}"/>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358" name="Text Box 12">
          <a:extLst>
            <a:ext uri="{FF2B5EF4-FFF2-40B4-BE49-F238E27FC236}">
              <a16:creationId xmlns="" xmlns:a16="http://schemas.microsoft.com/office/drawing/2014/main" id="{5B1E0C22-F783-4689-9165-1CCA6D2B051B}"/>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359" name="Text Box 10">
          <a:extLst>
            <a:ext uri="{FF2B5EF4-FFF2-40B4-BE49-F238E27FC236}">
              <a16:creationId xmlns="" xmlns:a16="http://schemas.microsoft.com/office/drawing/2014/main" id="{B46951B3-5210-4430-9F8B-0BEE08015354}"/>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360" name="Text Box 11">
          <a:extLst>
            <a:ext uri="{FF2B5EF4-FFF2-40B4-BE49-F238E27FC236}">
              <a16:creationId xmlns="" xmlns:a16="http://schemas.microsoft.com/office/drawing/2014/main" id="{394BBADC-5202-4A8C-A2DC-C5725EAB0E4F}"/>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361" name="Text Box 12">
          <a:extLst>
            <a:ext uri="{FF2B5EF4-FFF2-40B4-BE49-F238E27FC236}">
              <a16:creationId xmlns="" xmlns:a16="http://schemas.microsoft.com/office/drawing/2014/main" id="{38CB9B70-1F03-4AA6-A82D-AC75FFDA2204}"/>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362" name="Text Box 10">
          <a:extLst>
            <a:ext uri="{FF2B5EF4-FFF2-40B4-BE49-F238E27FC236}">
              <a16:creationId xmlns="" xmlns:a16="http://schemas.microsoft.com/office/drawing/2014/main" id="{87CB1247-BDFD-4B5D-A516-DEBF930E73EA}"/>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363" name="Text Box 11">
          <a:extLst>
            <a:ext uri="{FF2B5EF4-FFF2-40B4-BE49-F238E27FC236}">
              <a16:creationId xmlns="" xmlns:a16="http://schemas.microsoft.com/office/drawing/2014/main" id="{FB8C5D1A-4670-40F5-9791-4F9865081FA2}"/>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364" name="Text Box 12">
          <a:extLst>
            <a:ext uri="{FF2B5EF4-FFF2-40B4-BE49-F238E27FC236}">
              <a16:creationId xmlns="" xmlns:a16="http://schemas.microsoft.com/office/drawing/2014/main" id="{E62CFB55-38D5-4860-89AF-212B33428450}"/>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365" name="Text Box 10">
          <a:extLst>
            <a:ext uri="{FF2B5EF4-FFF2-40B4-BE49-F238E27FC236}">
              <a16:creationId xmlns="" xmlns:a16="http://schemas.microsoft.com/office/drawing/2014/main" id="{B11865A8-9FCD-43C0-A0A1-ED9F67DDAF97}"/>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366" name="Text Box 11">
          <a:extLst>
            <a:ext uri="{FF2B5EF4-FFF2-40B4-BE49-F238E27FC236}">
              <a16:creationId xmlns="" xmlns:a16="http://schemas.microsoft.com/office/drawing/2014/main" id="{BB969E1F-F29C-4773-BD2D-5059127DD8D7}"/>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367" name="Text Box 12">
          <a:extLst>
            <a:ext uri="{FF2B5EF4-FFF2-40B4-BE49-F238E27FC236}">
              <a16:creationId xmlns="" xmlns:a16="http://schemas.microsoft.com/office/drawing/2014/main" id="{B3FCE7F2-35BB-41C7-A804-427DC1033E45}"/>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368" name="Text Box 10">
          <a:extLst>
            <a:ext uri="{FF2B5EF4-FFF2-40B4-BE49-F238E27FC236}">
              <a16:creationId xmlns="" xmlns:a16="http://schemas.microsoft.com/office/drawing/2014/main" id="{7B7F8279-35E3-41C5-BE71-92261552F7EB}"/>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369" name="Text Box 11">
          <a:extLst>
            <a:ext uri="{FF2B5EF4-FFF2-40B4-BE49-F238E27FC236}">
              <a16:creationId xmlns="" xmlns:a16="http://schemas.microsoft.com/office/drawing/2014/main" id="{5DDE35D8-24F0-41A5-847A-BB27E22EFFC4}"/>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370" name="Text Box 12">
          <a:extLst>
            <a:ext uri="{FF2B5EF4-FFF2-40B4-BE49-F238E27FC236}">
              <a16:creationId xmlns="" xmlns:a16="http://schemas.microsoft.com/office/drawing/2014/main" id="{225FAE82-1E86-49AC-9A3B-FB47947301D8}"/>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371" name="Text Box 10">
          <a:extLst>
            <a:ext uri="{FF2B5EF4-FFF2-40B4-BE49-F238E27FC236}">
              <a16:creationId xmlns="" xmlns:a16="http://schemas.microsoft.com/office/drawing/2014/main" id="{D80CFEE5-28AC-4EB9-8A01-5F14070BBFB2}"/>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372" name="Text Box 11">
          <a:extLst>
            <a:ext uri="{FF2B5EF4-FFF2-40B4-BE49-F238E27FC236}">
              <a16:creationId xmlns="" xmlns:a16="http://schemas.microsoft.com/office/drawing/2014/main" id="{29C7FAA2-C199-4E89-BBB9-BC047FD803AC}"/>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373" name="Text Box 12">
          <a:extLst>
            <a:ext uri="{FF2B5EF4-FFF2-40B4-BE49-F238E27FC236}">
              <a16:creationId xmlns="" xmlns:a16="http://schemas.microsoft.com/office/drawing/2014/main" id="{64114DDC-FC59-4646-8C79-BA27B1DAD504}"/>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374" name="Text Box 10">
          <a:extLst>
            <a:ext uri="{FF2B5EF4-FFF2-40B4-BE49-F238E27FC236}">
              <a16:creationId xmlns="" xmlns:a16="http://schemas.microsoft.com/office/drawing/2014/main" id="{3893B5EF-FFFB-4BB5-B56E-20C3506C51F9}"/>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375" name="Text Box 11">
          <a:extLst>
            <a:ext uri="{FF2B5EF4-FFF2-40B4-BE49-F238E27FC236}">
              <a16:creationId xmlns="" xmlns:a16="http://schemas.microsoft.com/office/drawing/2014/main" id="{E6A6ED40-1344-45C9-9205-08B9BB3EEAD1}"/>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376" name="Text Box 12">
          <a:extLst>
            <a:ext uri="{FF2B5EF4-FFF2-40B4-BE49-F238E27FC236}">
              <a16:creationId xmlns="" xmlns:a16="http://schemas.microsoft.com/office/drawing/2014/main" id="{495EBF16-D685-4EBC-A192-3B8B079DD4F6}"/>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377" name="Text Box 10">
          <a:extLst>
            <a:ext uri="{FF2B5EF4-FFF2-40B4-BE49-F238E27FC236}">
              <a16:creationId xmlns="" xmlns:a16="http://schemas.microsoft.com/office/drawing/2014/main" id="{C61FFC35-80A5-45ED-A386-B5A83FA0909A}"/>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378" name="Text Box 11">
          <a:extLst>
            <a:ext uri="{FF2B5EF4-FFF2-40B4-BE49-F238E27FC236}">
              <a16:creationId xmlns="" xmlns:a16="http://schemas.microsoft.com/office/drawing/2014/main" id="{285A3730-4804-4FE6-B0D1-3A08CFF24BE1}"/>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379" name="Text Box 12">
          <a:extLst>
            <a:ext uri="{FF2B5EF4-FFF2-40B4-BE49-F238E27FC236}">
              <a16:creationId xmlns="" xmlns:a16="http://schemas.microsoft.com/office/drawing/2014/main" id="{7451635C-EF07-4817-BBBB-0AD25A761A7B}"/>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380" name="Text Box 10">
          <a:extLst>
            <a:ext uri="{FF2B5EF4-FFF2-40B4-BE49-F238E27FC236}">
              <a16:creationId xmlns="" xmlns:a16="http://schemas.microsoft.com/office/drawing/2014/main" id="{FA1B5918-C1E5-4C14-93F1-060127DF3BD2}"/>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381" name="Text Box 11">
          <a:extLst>
            <a:ext uri="{FF2B5EF4-FFF2-40B4-BE49-F238E27FC236}">
              <a16:creationId xmlns="" xmlns:a16="http://schemas.microsoft.com/office/drawing/2014/main" id="{81B179D0-E391-4CB1-A87B-27A329765E21}"/>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382" name="Text Box 12">
          <a:extLst>
            <a:ext uri="{FF2B5EF4-FFF2-40B4-BE49-F238E27FC236}">
              <a16:creationId xmlns="" xmlns:a16="http://schemas.microsoft.com/office/drawing/2014/main" id="{D3B98C19-ED00-4931-8676-0115B745E136}"/>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383" name="Text Box 10">
          <a:extLst>
            <a:ext uri="{FF2B5EF4-FFF2-40B4-BE49-F238E27FC236}">
              <a16:creationId xmlns="" xmlns:a16="http://schemas.microsoft.com/office/drawing/2014/main" id="{61EAD151-ADA4-4806-A1AD-B4851D467358}"/>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384" name="Text Box 11">
          <a:extLst>
            <a:ext uri="{FF2B5EF4-FFF2-40B4-BE49-F238E27FC236}">
              <a16:creationId xmlns="" xmlns:a16="http://schemas.microsoft.com/office/drawing/2014/main" id="{E4CD600A-7898-4B2B-8B5E-EE97D0CE048F}"/>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385" name="Text Box 12">
          <a:extLst>
            <a:ext uri="{FF2B5EF4-FFF2-40B4-BE49-F238E27FC236}">
              <a16:creationId xmlns="" xmlns:a16="http://schemas.microsoft.com/office/drawing/2014/main" id="{0BA418DF-0389-4173-AE6C-1D7A3DD8B5AA}"/>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386" name="Text Box 10">
          <a:extLst>
            <a:ext uri="{FF2B5EF4-FFF2-40B4-BE49-F238E27FC236}">
              <a16:creationId xmlns="" xmlns:a16="http://schemas.microsoft.com/office/drawing/2014/main" id="{A6EECCBD-1626-46B5-AEA9-58A0C701BEA8}"/>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387" name="Text Box 11">
          <a:extLst>
            <a:ext uri="{FF2B5EF4-FFF2-40B4-BE49-F238E27FC236}">
              <a16:creationId xmlns="" xmlns:a16="http://schemas.microsoft.com/office/drawing/2014/main" id="{B426FD75-FA46-458C-B496-8578D490DA23}"/>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388" name="Text Box 12">
          <a:extLst>
            <a:ext uri="{FF2B5EF4-FFF2-40B4-BE49-F238E27FC236}">
              <a16:creationId xmlns="" xmlns:a16="http://schemas.microsoft.com/office/drawing/2014/main" id="{B00E98A3-5345-4726-80DE-095D5A243C67}"/>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389" name="Text Box 10">
          <a:extLst>
            <a:ext uri="{FF2B5EF4-FFF2-40B4-BE49-F238E27FC236}">
              <a16:creationId xmlns="" xmlns:a16="http://schemas.microsoft.com/office/drawing/2014/main" id="{4E4D6F51-0404-410E-9EE3-A2A43DD5D74E}"/>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390" name="Text Box 11">
          <a:extLst>
            <a:ext uri="{FF2B5EF4-FFF2-40B4-BE49-F238E27FC236}">
              <a16:creationId xmlns="" xmlns:a16="http://schemas.microsoft.com/office/drawing/2014/main" id="{25027D20-A736-4C46-B519-5DB279D6D510}"/>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391" name="Text Box 12">
          <a:extLst>
            <a:ext uri="{FF2B5EF4-FFF2-40B4-BE49-F238E27FC236}">
              <a16:creationId xmlns="" xmlns:a16="http://schemas.microsoft.com/office/drawing/2014/main" id="{EF9E23B6-3002-42FA-876E-F4C3E7330B33}"/>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392" name="Text Box 10">
          <a:extLst>
            <a:ext uri="{FF2B5EF4-FFF2-40B4-BE49-F238E27FC236}">
              <a16:creationId xmlns="" xmlns:a16="http://schemas.microsoft.com/office/drawing/2014/main" id="{A7D8F3B5-B0B5-4FA8-A723-1D7F00F70E28}"/>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393" name="Text Box 11">
          <a:extLst>
            <a:ext uri="{FF2B5EF4-FFF2-40B4-BE49-F238E27FC236}">
              <a16:creationId xmlns="" xmlns:a16="http://schemas.microsoft.com/office/drawing/2014/main" id="{3B01710C-2F40-46F8-9D00-8CCE64674331}"/>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394" name="Text Box 12">
          <a:extLst>
            <a:ext uri="{FF2B5EF4-FFF2-40B4-BE49-F238E27FC236}">
              <a16:creationId xmlns="" xmlns:a16="http://schemas.microsoft.com/office/drawing/2014/main" id="{DA64431B-2350-45E4-99D8-EE3E5A93CB16}"/>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395" name="Text Box 10">
          <a:extLst>
            <a:ext uri="{FF2B5EF4-FFF2-40B4-BE49-F238E27FC236}">
              <a16:creationId xmlns="" xmlns:a16="http://schemas.microsoft.com/office/drawing/2014/main" id="{28543246-7C03-4603-BD49-4C144F80880A}"/>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396" name="Text Box 11">
          <a:extLst>
            <a:ext uri="{FF2B5EF4-FFF2-40B4-BE49-F238E27FC236}">
              <a16:creationId xmlns="" xmlns:a16="http://schemas.microsoft.com/office/drawing/2014/main" id="{95D774AC-0EF8-4786-AA94-AD3168D6560E}"/>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397" name="Text Box 12">
          <a:extLst>
            <a:ext uri="{FF2B5EF4-FFF2-40B4-BE49-F238E27FC236}">
              <a16:creationId xmlns="" xmlns:a16="http://schemas.microsoft.com/office/drawing/2014/main" id="{2CFDDE17-397F-4F66-868D-CDBA37371988}"/>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398" name="Text Box 10">
          <a:extLst>
            <a:ext uri="{FF2B5EF4-FFF2-40B4-BE49-F238E27FC236}">
              <a16:creationId xmlns="" xmlns:a16="http://schemas.microsoft.com/office/drawing/2014/main" id="{5E1F64A1-DDB7-4BB5-BC48-BB882909EE43}"/>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399" name="Text Box 11">
          <a:extLst>
            <a:ext uri="{FF2B5EF4-FFF2-40B4-BE49-F238E27FC236}">
              <a16:creationId xmlns="" xmlns:a16="http://schemas.microsoft.com/office/drawing/2014/main" id="{ECF38811-28B7-4329-A980-9F150314C538}"/>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400" name="Text Box 12">
          <a:extLst>
            <a:ext uri="{FF2B5EF4-FFF2-40B4-BE49-F238E27FC236}">
              <a16:creationId xmlns="" xmlns:a16="http://schemas.microsoft.com/office/drawing/2014/main" id="{D8104A52-F8C7-4F28-A580-4D159FEEAA5C}"/>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401" name="Text Box 10">
          <a:extLst>
            <a:ext uri="{FF2B5EF4-FFF2-40B4-BE49-F238E27FC236}">
              <a16:creationId xmlns="" xmlns:a16="http://schemas.microsoft.com/office/drawing/2014/main" id="{CAE1AEA7-1F43-4F88-BCAB-02E5478C9EF5}"/>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402" name="Text Box 11">
          <a:extLst>
            <a:ext uri="{FF2B5EF4-FFF2-40B4-BE49-F238E27FC236}">
              <a16:creationId xmlns="" xmlns:a16="http://schemas.microsoft.com/office/drawing/2014/main" id="{8C0CBDD9-A3CA-485B-8419-75335EF202FF}"/>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403" name="Text Box 12">
          <a:extLst>
            <a:ext uri="{FF2B5EF4-FFF2-40B4-BE49-F238E27FC236}">
              <a16:creationId xmlns="" xmlns:a16="http://schemas.microsoft.com/office/drawing/2014/main" id="{DD1CFC44-B976-40B5-9794-FFA567DB7D64}"/>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404" name="Text Box 10">
          <a:extLst>
            <a:ext uri="{FF2B5EF4-FFF2-40B4-BE49-F238E27FC236}">
              <a16:creationId xmlns="" xmlns:a16="http://schemas.microsoft.com/office/drawing/2014/main" id="{41238219-097E-418C-B378-1D37FE923180}"/>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405" name="Text Box 11">
          <a:extLst>
            <a:ext uri="{FF2B5EF4-FFF2-40B4-BE49-F238E27FC236}">
              <a16:creationId xmlns="" xmlns:a16="http://schemas.microsoft.com/office/drawing/2014/main" id="{019A1368-9513-4621-A05C-F3B0A2FF69E1}"/>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406" name="Text Box 12">
          <a:extLst>
            <a:ext uri="{FF2B5EF4-FFF2-40B4-BE49-F238E27FC236}">
              <a16:creationId xmlns="" xmlns:a16="http://schemas.microsoft.com/office/drawing/2014/main" id="{8C2953EC-FAD8-4F5F-83D5-2D164C772B40}"/>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407" name="Text Box 10">
          <a:extLst>
            <a:ext uri="{FF2B5EF4-FFF2-40B4-BE49-F238E27FC236}">
              <a16:creationId xmlns="" xmlns:a16="http://schemas.microsoft.com/office/drawing/2014/main" id="{76BE73D3-6A86-4303-B871-34FCD422C1C0}"/>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408" name="Text Box 11">
          <a:extLst>
            <a:ext uri="{FF2B5EF4-FFF2-40B4-BE49-F238E27FC236}">
              <a16:creationId xmlns="" xmlns:a16="http://schemas.microsoft.com/office/drawing/2014/main" id="{4604AC55-BC7E-487E-B005-D647AD282309}"/>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409" name="Text Box 12">
          <a:extLst>
            <a:ext uri="{FF2B5EF4-FFF2-40B4-BE49-F238E27FC236}">
              <a16:creationId xmlns="" xmlns:a16="http://schemas.microsoft.com/office/drawing/2014/main" id="{83E96F10-C543-4D90-AAB5-3287F117D7D4}"/>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410" name="Text Box 10">
          <a:extLst>
            <a:ext uri="{FF2B5EF4-FFF2-40B4-BE49-F238E27FC236}">
              <a16:creationId xmlns="" xmlns:a16="http://schemas.microsoft.com/office/drawing/2014/main" id="{87A76A0E-0619-4BC3-B2F8-1A4C534BE027}"/>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411" name="Text Box 11">
          <a:extLst>
            <a:ext uri="{FF2B5EF4-FFF2-40B4-BE49-F238E27FC236}">
              <a16:creationId xmlns="" xmlns:a16="http://schemas.microsoft.com/office/drawing/2014/main" id="{E44BF0E4-3877-48A8-B13A-ED7B6E8E9EDB}"/>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412" name="Text Box 12">
          <a:extLst>
            <a:ext uri="{FF2B5EF4-FFF2-40B4-BE49-F238E27FC236}">
              <a16:creationId xmlns="" xmlns:a16="http://schemas.microsoft.com/office/drawing/2014/main" id="{D7F266B5-A0BB-4DDA-9705-8FD07EE2469F}"/>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413" name="Text Box 10">
          <a:extLst>
            <a:ext uri="{FF2B5EF4-FFF2-40B4-BE49-F238E27FC236}">
              <a16:creationId xmlns="" xmlns:a16="http://schemas.microsoft.com/office/drawing/2014/main" id="{5FE20982-F29F-41A3-9238-0BC8AC122932}"/>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414" name="Text Box 11">
          <a:extLst>
            <a:ext uri="{FF2B5EF4-FFF2-40B4-BE49-F238E27FC236}">
              <a16:creationId xmlns="" xmlns:a16="http://schemas.microsoft.com/office/drawing/2014/main" id="{621412C3-F8A5-490A-ADCF-240451B7F534}"/>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415" name="Text Box 12">
          <a:extLst>
            <a:ext uri="{FF2B5EF4-FFF2-40B4-BE49-F238E27FC236}">
              <a16:creationId xmlns="" xmlns:a16="http://schemas.microsoft.com/office/drawing/2014/main" id="{B6B6BC8D-531C-4C46-BBC4-59FF07308D1F}"/>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416" name="Text Box 10">
          <a:extLst>
            <a:ext uri="{FF2B5EF4-FFF2-40B4-BE49-F238E27FC236}">
              <a16:creationId xmlns="" xmlns:a16="http://schemas.microsoft.com/office/drawing/2014/main" id="{FE1D29C6-2450-4476-A290-73886201100B}"/>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417" name="Text Box 11">
          <a:extLst>
            <a:ext uri="{FF2B5EF4-FFF2-40B4-BE49-F238E27FC236}">
              <a16:creationId xmlns="" xmlns:a16="http://schemas.microsoft.com/office/drawing/2014/main" id="{49DA9AFF-618A-4758-BFBC-994B9A81D599}"/>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418" name="Text Box 12">
          <a:extLst>
            <a:ext uri="{FF2B5EF4-FFF2-40B4-BE49-F238E27FC236}">
              <a16:creationId xmlns="" xmlns:a16="http://schemas.microsoft.com/office/drawing/2014/main" id="{6375B3E6-D29F-460D-83E1-5FE9FA2F38A6}"/>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419" name="Text Box 10">
          <a:extLst>
            <a:ext uri="{FF2B5EF4-FFF2-40B4-BE49-F238E27FC236}">
              <a16:creationId xmlns="" xmlns:a16="http://schemas.microsoft.com/office/drawing/2014/main" id="{B79ADC4E-4FE2-4C95-B53E-92539DCDF054}"/>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420" name="Text Box 11">
          <a:extLst>
            <a:ext uri="{FF2B5EF4-FFF2-40B4-BE49-F238E27FC236}">
              <a16:creationId xmlns="" xmlns:a16="http://schemas.microsoft.com/office/drawing/2014/main" id="{41D2FC89-4CA1-48ED-8D28-9153C8A982A7}"/>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421" name="Text Box 12">
          <a:extLst>
            <a:ext uri="{FF2B5EF4-FFF2-40B4-BE49-F238E27FC236}">
              <a16:creationId xmlns="" xmlns:a16="http://schemas.microsoft.com/office/drawing/2014/main" id="{99FC35C6-AC68-4964-8057-FAC2BBC7FEA9}"/>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422" name="Text Box 10">
          <a:extLst>
            <a:ext uri="{FF2B5EF4-FFF2-40B4-BE49-F238E27FC236}">
              <a16:creationId xmlns="" xmlns:a16="http://schemas.microsoft.com/office/drawing/2014/main" id="{28A269A0-9B86-4F55-820B-3533222530B6}"/>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423" name="Text Box 11">
          <a:extLst>
            <a:ext uri="{FF2B5EF4-FFF2-40B4-BE49-F238E27FC236}">
              <a16:creationId xmlns="" xmlns:a16="http://schemas.microsoft.com/office/drawing/2014/main" id="{4BE8FD73-AE71-4CD6-884F-E0A183198E99}"/>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424" name="Text Box 12">
          <a:extLst>
            <a:ext uri="{FF2B5EF4-FFF2-40B4-BE49-F238E27FC236}">
              <a16:creationId xmlns="" xmlns:a16="http://schemas.microsoft.com/office/drawing/2014/main" id="{013AB976-5246-41A0-AA60-E75121281F50}"/>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425" name="Text Box 10">
          <a:extLst>
            <a:ext uri="{FF2B5EF4-FFF2-40B4-BE49-F238E27FC236}">
              <a16:creationId xmlns="" xmlns:a16="http://schemas.microsoft.com/office/drawing/2014/main" id="{F78AF7EE-CCDE-4B0C-86AD-3498886044DA}"/>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426" name="Text Box 11">
          <a:extLst>
            <a:ext uri="{FF2B5EF4-FFF2-40B4-BE49-F238E27FC236}">
              <a16:creationId xmlns="" xmlns:a16="http://schemas.microsoft.com/office/drawing/2014/main" id="{D8C5D492-7201-4927-A82C-211809CCDD6E}"/>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427" name="Text Box 12">
          <a:extLst>
            <a:ext uri="{FF2B5EF4-FFF2-40B4-BE49-F238E27FC236}">
              <a16:creationId xmlns="" xmlns:a16="http://schemas.microsoft.com/office/drawing/2014/main" id="{1D326AA9-811D-4F2D-992D-FF3848441E50}"/>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428" name="Text Box 10">
          <a:extLst>
            <a:ext uri="{FF2B5EF4-FFF2-40B4-BE49-F238E27FC236}">
              <a16:creationId xmlns="" xmlns:a16="http://schemas.microsoft.com/office/drawing/2014/main" id="{838E96F9-3A54-4496-A280-6BF5BA919A01}"/>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429" name="Text Box 11">
          <a:extLst>
            <a:ext uri="{FF2B5EF4-FFF2-40B4-BE49-F238E27FC236}">
              <a16:creationId xmlns="" xmlns:a16="http://schemas.microsoft.com/office/drawing/2014/main" id="{9C52F740-85CB-41BE-B6F3-948A91101FEC}"/>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430" name="Text Box 12">
          <a:extLst>
            <a:ext uri="{FF2B5EF4-FFF2-40B4-BE49-F238E27FC236}">
              <a16:creationId xmlns="" xmlns:a16="http://schemas.microsoft.com/office/drawing/2014/main" id="{58566AE8-2336-4201-B349-FB13D81613F0}"/>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431" name="Text Box 10">
          <a:extLst>
            <a:ext uri="{FF2B5EF4-FFF2-40B4-BE49-F238E27FC236}">
              <a16:creationId xmlns="" xmlns:a16="http://schemas.microsoft.com/office/drawing/2014/main" id="{6FEFAF17-545F-4FCB-94B1-8BE550B8AE06}"/>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432" name="Text Box 11">
          <a:extLst>
            <a:ext uri="{FF2B5EF4-FFF2-40B4-BE49-F238E27FC236}">
              <a16:creationId xmlns="" xmlns:a16="http://schemas.microsoft.com/office/drawing/2014/main" id="{80D48D8B-485A-4648-8639-9A1B150E9417}"/>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433" name="Text Box 12">
          <a:extLst>
            <a:ext uri="{FF2B5EF4-FFF2-40B4-BE49-F238E27FC236}">
              <a16:creationId xmlns="" xmlns:a16="http://schemas.microsoft.com/office/drawing/2014/main" id="{BE45AFED-5107-4A8B-9F92-E8344EB1032A}"/>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434" name="Text Box 10">
          <a:extLst>
            <a:ext uri="{FF2B5EF4-FFF2-40B4-BE49-F238E27FC236}">
              <a16:creationId xmlns="" xmlns:a16="http://schemas.microsoft.com/office/drawing/2014/main" id="{D9535B0E-A539-4CB5-BB83-EA02A7E7C78E}"/>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435" name="Text Box 11">
          <a:extLst>
            <a:ext uri="{FF2B5EF4-FFF2-40B4-BE49-F238E27FC236}">
              <a16:creationId xmlns="" xmlns:a16="http://schemas.microsoft.com/office/drawing/2014/main" id="{FD3006EA-1530-45D0-A55A-800DA316E93A}"/>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436" name="Text Box 12">
          <a:extLst>
            <a:ext uri="{FF2B5EF4-FFF2-40B4-BE49-F238E27FC236}">
              <a16:creationId xmlns="" xmlns:a16="http://schemas.microsoft.com/office/drawing/2014/main" id="{557C0FF8-4FBA-4B1E-90AF-6BA95E2E67E3}"/>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437" name="Text Box 10">
          <a:extLst>
            <a:ext uri="{FF2B5EF4-FFF2-40B4-BE49-F238E27FC236}">
              <a16:creationId xmlns="" xmlns:a16="http://schemas.microsoft.com/office/drawing/2014/main" id="{FF39A5FE-357C-4207-8775-2F4EE373F074}"/>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438" name="Text Box 11">
          <a:extLst>
            <a:ext uri="{FF2B5EF4-FFF2-40B4-BE49-F238E27FC236}">
              <a16:creationId xmlns="" xmlns:a16="http://schemas.microsoft.com/office/drawing/2014/main" id="{9836E7C8-D7E6-4116-B815-25D1B2C03E3B}"/>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18</xdr:row>
      <xdr:rowOff>272410</xdr:rowOff>
    </xdr:to>
    <xdr:sp macro="" textlink="">
      <xdr:nvSpPr>
        <xdr:cNvPr id="439" name="Text Box 12">
          <a:extLst>
            <a:ext uri="{FF2B5EF4-FFF2-40B4-BE49-F238E27FC236}">
              <a16:creationId xmlns="" xmlns:a16="http://schemas.microsoft.com/office/drawing/2014/main" id="{611CBA67-2EC7-45FF-B4C5-F4DE580B2102}"/>
            </a:ext>
          </a:extLst>
        </xdr:cNvPr>
        <xdr:cNvSpPr txBox="1">
          <a:spLocks noChangeArrowheads="1"/>
        </xdr:cNvSpPr>
      </xdr:nvSpPr>
      <xdr:spPr bwMode="auto">
        <a:xfrm>
          <a:off x="3381375"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85725</xdr:colOff>
      <xdr:row>15</xdr:row>
      <xdr:rowOff>253558</xdr:rowOff>
    </xdr:to>
    <xdr:sp macro="" textlink="">
      <xdr:nvSpPr>
        <xdr:cNvPr id="440" name="Text Box 10">
          <a:extLst>
            <a:ext uri="{FF2B5EF4-FFF2-40B4-BE49-F238E27FC236}">
              <a16:creationId xmlns="" xmlns:a16="http://schemas.microsoft.com/office/drawing/2014/main" id="{35C08F78-4997-4889-8A99-D567CE482B8C}"/>
            </a:ext>
          </a:extLst>
        </xdr:cNvPr>
        <xdr:cNvSpPr txBox="1">
          <a:spLocks noChangeArrowheads="1"/>
        </xdr:cNvSpPr>
      </xdr:nvSpPr>
      <xdr:spPr bwMode="auto">
        <a:xfrm>
          <a:off x="3381375" y="2981325"/>
          <a:ext cx="76200" cy="1197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85725</xdr:colOff>
      <xdr:row>15</xdr:row>
      <xdr:rowOff>253558</xdr:rowOff>
    </xdr:to>
    <xdr:sp macro="" textlink="">
      <xdr:nvSpPr>
        <xdr:cNvPr id="441" name="Text Box 11">
          <a:extLst>
            <a:ext uri="{FF2B5EF4-FFF2-40B4-BE49-F238E27FC236}">
              <a16:creationId xmlns="" xmlns:a16="http://schemas.microsoft.com/office/drawing/2014/main" id="{BEE30AA4-46C5-4724-95FD-4B652F45DC42}"/>
            </a:ext>
          </a:extLst>
        </xdr:cNvPr>
        <xdr:cNvSpPr txBox="1">
          <a:spLocks noChangeArrowheads="1"/>
        </xdr:cNvSpPr>
      </xdr:nvSpPr>
      <xdr:spPr bwMode="auto">
        <a:xfrm>
          <a:off x="3381375" y="2981325"/>
          <a:ext cx="76200" cy="1197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85725</xdr:colOff>
      <xdr:row>15</xdr:row>
      <xdr:rowOff>253558</xdr:rowOff>
    </xdr:to>
    <xdr:sp macro="" textlink="">
      <xdr:nvSpPr>
        <xdr:cNvPr id="442" name="Text Box 12">
          <a:extLst>
            <a:ext uri="{FF2B5EF4-FFF2-40B4-BE49-F238E27FC236}">
              <a16:creationId xmlns="" xmlns:a16="http://schemas.microsoft.com/office/drawing/2014/main" id="{C281C4BF-2553-4390-B2FB-584D9519F845}"/>
            </a:ext>
          </a:extLst>
        </xdr:cNvPr>
        <xdr:cNvSpPr txBox="1">
          <a:spLocks noChangeArrowheads="1"/>
        </xdr:cNvSpPr>
      </xdr:nvSpPr>
      <xdr:spPr bwMode="auto">
        <a:xfrm>
          <a:off x="3381375" y="2981325"/>
          <a:ext cx="76200" cy="1197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85725</xdr:colOff>
      <xdr:row>15</xdr:row>
      <xdr:rowOff>253558</xdr:rowOff>
    </xdr:to>
    <xdr:sp macro="" textlink="">
      <xdr:nvSpPr>
        <xdr:cNvPr id="443" name="Text Box 10">
          <a:extLst>
            <a:ext uri="{FF2B5EF4-FFF2-40B4-BE49-F238E27FC236}">
              <a16:creationId xmlns="" xmlns:a16="http://schemas.microsoft.com/office/drawing/2014/main" id="{958D4575-4D1F-4062-990B-C624EFAB0271}"/>
            </a:ext>
          </a:extLst>
        </xdr:cNvPr>
        <xdr:cNvSpPr txBox="1">
          <a:spLocks noChangeArrowheads="1"/>
        </xdr:cNvSpPr>
      </xdr:nvSpPr>
      <xdr:spPr bwMode="auto">
        <a:xfrm>
          <a:off x="3381375" y="2981325"/>
          <a:ext cx="76200" cy="1197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85725</xdr:colOff>
      <xdr:row>15</xdr:row>
      <xdr:rowOff>253558</xdr:rowOff>
    </xdr:to>
    <xdr:sp macro="" textlink="">
      <xdr:nvSpPr>
        <xdr:cNvPr id="444" name="Text Box 11">
          <a:extLst>
            <a:ext uri="{FF2B5EF4-FFF2-40B4-BE49-F238E27FC236}">
              <a16:creationId xmlns="" xmlns:a16="http://schemas.microsoft.com/office/drawing/2014/main" id="{F8984DBB-283C-4690-94D4-996CE9C142FC}"/>
            </a:ext>
          </a:extLst>
        </xdr:cNvPr>
        <xdr:cNvSpPr txBox="1">
          <a:spLocks noChangeArrowheads="1"/>
        </xdr:cNvSpPr>
      </xdr:nvSpPr>
      <xdr:spPr bwMode="auto">
        <a:xfrm>
          <a:off x="3381375" y="2981325"/>
          <a:ext cx="76200" cy="1197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85725</xdr:colOff>
      <xdr:row>15</xdr:row>
      <xdr:rowOff>253558</xdr:rowOff>
    </xdr:to>
    <xdr:sp macro="" textlink="">
      <xdr:nvSpPr>
        <xdr:cNvPr id="445" name="Text Box 12">
          <a:extLst>
            <a:ext uri="{FF2B5EF4-FFF2-40B4-BE49-F238E27FC236}">
              <a16:creationId xmlns="" xmlns:a16="http://schemas.microsoft.com/office/drawing/2014/main" id="{17DF645A-FFC5-4A4F-89FB-290B3B506563}"/>
            </a:ext>
          </a:extLst>
        </xdr:cNvPr>
        <xdr:cNvSpPr txBox="1">
          <a:spLocks noChangeArrowheads="1"/>
        </xdr:cNvSpPr>
      </xdr:nvSpPr>
      <xdr:spPr bwMode="auto">
        <a:xfrm>
          <a:off x="3381375" y="2981325"/>
          <a:ext cx="76200" cy="1197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446" name="Text Box 10">
          <a:extLst>
            <a:ext uri="{FF2B5EF4-FFF2-40B4-BE49-F238E27FC236}">
              <a16:creationId xmlns="" xmlns:a16="http://schemas.microsoft.com/office/drawing/2014/main" id="{4944FBC2-22C1-4380-A196-ACA84D94E941}"/>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447" name="Text Box 11">
          <a:extLst>
            <a:ext uri="{FF2B5EF4-FFF2-40B4-BE49-F238E27FC236}">
              <a16:creationId xmlns="" xmlns:a16="http://schemas.microsoft.com/office/drawing/2014/main" id="{91A1F85B-B399-4E8E-AD3D-01E43644DB74}"/>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448" name="Text Box 12">
          <a:extLst>
            <a:ext uri="{FF2B5EF4-FFF2-40B4-BE49-F238E27FC236}">
              <a16:creationId xmlns="" xmlns:a16="http://schemas.microsoft.com/office/drawing/2014/main" id="{7A293227-086E-4F6A-8E8F-9BDE41C681E0}"/>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85725</xdr:colOff>
      <xdr:row>15</xdr:row>
      <xdr:rowOff>253558</xdr:rowOff>
    </xdr:to>
    <xdr:sp macro="" textlink="">
      <xdr:nvSpPr>
        <xdr:cNvPr id="449" name="Text Box 10">
          <a:extLst>
            <a:ext uri="{FF2B5EF4-FFF2-40B4-BE49-F238E27FC236}">
              <a16:creationId xmlns="" xmlns:a16="http://schemas.microsoft.com/office/drawing/2014/main" id="{AF65D715-09E9-4661-A0B3-054BA48C2A87}"/>
            </a:ext>
          </a:extLst>
        </xdr:cNvPr>
        <xdr:cNvSpPr txBox="1">
          <a:spLocks noChangeArrowheads="1"/>
        </xdr:cNvSpPr>
      </xdr:nvSpPr>
      <xdr:spPr bwMode="auto">
        <a:xfrm>
          <a:off x="3381375" y="2981325"/>
          <a:ext cx="76200" cy="1197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85725</xdr:colOff>
      <xdr:row>15</xdr:row>
      <xdr:rowOff>253558</xdr:rowOff>
    </xdr:to>
    <xdr:sp macro="" textlink="">
      <xdr:nvSpPr>
        <xdr:cNvPr id="450" name="Text Box 11">
          <a:extLst>
            <a:ext uri="{FF2B5EF4-FFF2-40B4-BE49-F238E27FC236}">
              <a16:creationId xmlns="" xmlns:a16="http://schemas.microsoft.com/office/drawing/2014/main" id="{548851A8-3B9D-41D9-B4C7-7CF33EC869F1}"/>
            </a:ext>
          </a:extLst>
        </xdr:cNvPr>
        <xdr:cNvSpPr txBox="1">
          <a:spLocks noChangeArrowheads="1"/>
        </xdr:cNvSpPr>
      </xdr:nvSpPr>
      <xdr:spPr bwMode="auto">
        <a:xfrm>
          <a:off x="3381375" y="2981325"/>
          <a:ext cx="76200" cy="1197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85725</xdr:colOff>
      <xdr:row>15</xdr:row>
      <xdr:rowOff>253558</xdr:rowOff>
    </xdr:to>
    <xdr:sp macro="" textlink="">
      <xdr:nvSpPr>
        <xdr:cNvPr id="451" name="Text Box 12">
          <a:extLst>
            <a:ext uri="{FF2B5EF4-FFF2-40B4-BE49-F238E27FC236}">
              <a16:creationId xmlns="" xmlns:a16="http://schemas.microsoft.com/office/drawing/2014/main" id="{7853F011-CC21-4CE2-9990-0DDF71882C4E}"/>
            </a:ext>
          </a:extLst>
        </xdr:cNvPr>
        <xdr:cNvSpPr txBox="1">
          <a:spLocks noChangeArrowheads="1"/>
        </xdr:cNvSpPr>
      </xdr:nvSpPr>
      <xdr:spPr bwMode="auto">
        <a:xfrm>
          <a:off x="3381375" y="2981325"/>
          <a:ext cx="76200" cy="1197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452" name="Text Box 10">
          <a:extLst>
            <a:ext uri="{FF2B5EF4-FFF2-40B4-BE49-F238E27FC236}">
              <a16:creationId xmlns="" xmlns:a16="http://schemas.microsoft.com/office/drawing/2014/main" id="{CE568603-9D4B-42B0-9BB2-ACFB6CEAF3D2}"/>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453" name="Text Box 11">
          <a:extLst>
            <a:ext uri="{FF2B5EF4-FFF2-40B4-BE49-F238E27FC236}">
              <a16:creationId xmlns="" xmlns:a16="http://schemas.microsoft.com/office/drawing/2014/main" id="{04798AAD-AF5A-4B03-ACF1-02C417EFE847}"/>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454" name="Text Box 12">
          <a:extLst>
            <a:ext uri="{FF2B5EF4-FFF2-40B4-BE49-F238E27FC236}">
              <a16:creationId xmlns="" xmlns:a16="http://schemas.microsoft.com/office/drawing/2014/main" id="{A571726B-05D3-44CF-9071-D59708B3F9A0}"/>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85725</xdr:colOff>
      <xdr:row>15</xdr:row>
      <xdr:rowOff>253558</xdr:rowOff>
    </xdr:to>
    <xdr:sp macro="" textlink="">
      <xdr:nvSpPr>
        <xdr:cNvPr id="455" name="Text Box 10">
          <a:extLst>
            <a:ext uri="{FF2B5EF4-FFF2-40B4-BE49-F238E27FC236}">
              <a16:creationId xmlns="" xmlns:a16="http://schemas.microsoft.com/office/drawing/2014/main" id="{AD1639BC-DC7B-40C9-AB1F-AC9DDCB70F6E}"/>
            </a:ext>
          </a:extLst>
        </xdr:cNvPr>
        <xdr:cNvSpPr txBox="1">
          <a:spLocks noChangeArrowheads="1"/>
        </xdr:cNvSpPr>
      </xdr:nvSpPr>
      <xdr:spPr bwMode="auto">
        <a:xfrm>
          <a:off x="3381375" y="2981325"/>
          <a:ext cx="76200" cy="1197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85725</xdr:colOff>
      <xdr:row>15</xdr:row>
      <xdr:rowOff>253558</xdr:rowOff>
    </xdr:to>
    <xdr:sp macro="" textlink="">
      <xdr:nvSpPr>
        <xdr:cNvPr id="456" name="Text Box 11">
          <a:extLst>
            <a:ext uri="{FF2B5EF4-FFF2-40B4-BE49-F238E27FC236}">
              <a16:creationId xmlns="" xmlns:a16="http://schemas.microsoft.com/office/drawing/2014/main" id="{78E4F7EF-2B18-465F-87B3-0AB96B0A66FB}"/>
            </a:ext>
          </a:extLst>
        </xdr:cNvPr>
        <xdr:cNvSpPr txBox="1">
          <a:spLocks noChangeArrowheads="1"/>
        </xdr:cNvSpPr>
      </xdr:nvSpPr>
      <xdr:spPr bwMode="auto">
        <a:xfrm>
          <a:off x="3381375" y="2981325"/>
          <a:ext cx="76200" cy="1197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85725</xdr:colOff>
      <xdr:row>15</xdr:row>
      <xdr:rowOff>253558</xdr:rowOff>
    </xdr:to>
    <xdr:sp macro="" textlink="">
      <xdr:nvSpPr>
        <xdr:cNvPr id="457" name="Text Box 12">
          <a:extLst>
            <a:ext uri="{FF2B5EF4-FFF2-40B4-BE49-F238E27FC236}">
              <a16:creationId xmlns="" xmlns:a16="http://schemas.microsoft.com/office/drawing/2014/main" id="{2895D6FF-0E7E-4F4F-94B8-ADA25C88B3CC}"/>
            </a:ext>
          </a:extLst>
        </xdr:cNvPr>
        <xdr:cNvSpPr txBox="1">
          <a:spLocks noChangeArrowheads="1"/>
        </xdr:cNvSpPr>
      </xdr:nvSpPr>
      <xdr:spPr bwMode="auto">
        <a:xfrm>
          <a:off x="3381375" y="2981325"/>
          <a:ext cx="76200" cy="1197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458" name="Text Box 10">
          <a:extLst>
            <a:ext uri="{FF2B5EF4-FFF2-40B4-BE49-F238E27FC236}">
              <a16:creationId xmlns="" xmlns:a16="http://schemas.microsoft.com/office/drawing/2014/main" id="{4BDE46A6-6BA3-4F0A-84B6-6EF59C3250FF}"/>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459" name="Text Box 11">
          <a:extLst>
            <a:ext uri="{FF2B5EF4-FFF2-40B4-BE49-F238E27FC236}">
              <a16:creationId xmlns="" xmlns:a16="http://schemas.microsoft.com/office/drawing/2014/main" id="{227CB52B-2DF6-410F-BC3C-69B6BFB98F54}"/>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460" name="Text Box 12">
          <a:extLst>
            <a:ext uri="{FF2B5EF4-FFF2-40B4-BE49-F238E27FC236}">
              <a16:creationId xmlns="" xmlns:a16="http://schemas.microsoft.com/office/drawing/2014/main" id="{2BACCE58-9717-4B6A-B3B3-370C0E4BDEF9}"/>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461" name="Text Box 10">
          <a:extLst>
            <a:ext uri="{FF2B5EF4-FFF2-40B4-BE49-F238E27FC236}">
              <a16:creationId xmlns="" xmlns:a16="http://schemas.microsoft.com/office/drawing/2014/main" id="{B289690E-A7D4-47FF-997B-3AF30ED4827A}"/>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462" name="Text Box 11">
          <a:extLst>
            <a:ext uri="{FF2B5EF4-FFF2-40B4-BE49-F238E27FC236}">
              <a16:creationId xmlns="" xmlns:a16="http://schemas.microsoft.com/office/drawing/2014/main" id="{9E5E832E-2046-4CFD-BD91-8DD607BF004D}"/>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463" name="Text Box 12">
          <a:extLst>
            <a:ext uri="{FF2B5EF4-FFF2-40B4-BE49-F238E27FC236}">
              <a16:creationId xmlns="" xmlns:a16="http://schemas.microsoft.com/office/drawing/2014/main" id="{CFE60617-A12C-40FE-9608-ABC3D08ADDBD}"/>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464" name="Text Box 10">
          <a:extLst>
            <a:ext uri="{FF2B5EF4-FFF2-40B4-BE49-F238E27FC236}">
              <a16:creationId xmlns="" xmlns:a16="http://schemas.microsoft.com/office/drawing/2014/main" id="{60975D04-B066-46E1-9B6C-AEEC0B4F192A}"/>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465" name="Text Box 11">
          <a:extLst>
            <a:ext uri="{FF2B5EF4-FFF2-40B4-BE49-F238E27FC236}">
              <a16:creationId xmlns="" xmlns:a16="http://schemas.microsoft.com/office/drawing/2014/main" id="{1419B4FE-B2E4-4F5F-B5F8-9F19826CDE7F}"/>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466" name="Text Box 12">
          <a:extLst>
            <a:ext uri="{FF2B5EF4-FFF2-40B4-BE49-F238E27FC236}">
              <a16:creationId xmlns="" xmlns:a16="http://schemas.microsoft.com/office/drawing/2014/main" id="{3738C35E-9A25-4212-8F2B-C418BFBE34AE}"/>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85725</xdr:colOff>
      <xdr:row>15</xdr:row>
      <xdr:rowOff>253558</xdr:rowOff>
    </xdr:to>
    <xdr:sp macro="" textlink="">
      <xdr:nvSpPr>
        <xdr:cNvPr id="467" name="Text Box 10">
          <a:extLst>
            <a:ext uri="{FF2B5EF4-FFF2-40B4-BE49-F238E27FC236}">
              <a16:creationId xmlns="" xmlns:a16="http://schemas.microsoft.com/office/drawing/2014/main" id="{1FFE0C93-C2CD-4B82-B0D0-AA8466677A80}"/>
            </a:ext>
          </a:extLst>
        </xdr:cNvPr>
        <xdr:cNvSpPr txBox="1">
          <a:spLocks noChangeArrowheads="1"/>
        </xdr:cNvSpPr>
      </xdr:nvSpPr>
      <xdr:spPr bwMode="auto">
        <a:xfrm>
          <a:off x="3381375" y="2981325"/>
          <a:ext cx="76200" cy="1197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85725</xdr:colOff>
      <xdr:row>15</xdr:row>
      <xdr:rowOff>253558</xdr:rowOff>
    </xdr:to>
    <xdr:sp macro="" textlink="">
      <xdr:nvSpPr>
        <xdr:cNvPr id="468" name="Text Box 11">
          <a:extLst>
            <a:ext uri="{FF2B5EF4-FFF2-40B4-BE49-F238E27FC236}">
              <a16:creationId xmlns="" xmlns:a16="http://schemas.microsoft.com/office/drawing/2014/main" id="{302F37B3-FCD4-4A88-B7C8-A14CF8CA9CEF}"/>
            </a:ext>
          </a:extLst>
        </xdr:cNvPr>
        <xdr:cNvSpPr txBox="1">
          <a:spLocks noChangeArrowheads="1"/>
        </xdr:cNvSpPr>
      </xdr:nvSpPr>
      <xdr:spPr bwMode="auto">
        <a:xfrm>
          <a:off x="3381375" y="2981325"/>
          <a:ext cx="76200" cy="1197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85725</xdr:colOff>
      <xdr:row>15</xdr:row>
      <xdr:rowOff>253558</xdr:rowOff>
    </xdr:to>
    <xdr:sp macro="" textlink="">
      <xdr:nvSpPr>
        <xdr:cNvPr id="469" name="Text Box 12">
          <a:extLst>
            <a:ext uri="{FF2B5EF4-FFF2-40B4-BE49-F238E27FC236}">
              <a16:creationId xmlns="" xmlns:a16="http://schemas.microsoft.com/office/drawing/2014/main" id="{D17244B2-E783-4448-9434-3EC7445B0B61}"/>
            </a:ext>
          </a:extLst>
        </xdr:cNvPr>
        <xdr:cNvSpPr txBox="1">
          <a:spLocks noChangeArrowheads="1"/>
        </xdr:cNvSpPr>
      </xdr:nvSpPr>
      <xdr:spPr bwMode="auto">
        <a:xfrm>
          <a:off x="3381375" y="2981325"/>
          <a:ext cx="76200" cy="1197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470" name="Text Box 10">
          <a:extLst>
            <a:ext uri="{FF2B5EF4-FFF2-40B4-BE49-F238E27FC236}">
              <a16:creationId xmlns="" xmlns:a16="http://schemas.microsoft.com/office/drawing/2014/main" id="{72B5F98E-F75E-48F2-BADC-97293A7AD7F7}"/>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471" name="Text Box 11">
          <a:extLst>
            <a:ext uri="{FF2B5EF4-FFF2-40B4-BE49-F238E27FC236}">
              <a16:creationId xmlns="" xmlns:a16="http://schemas.microsoft.com/office/drawing/2014/main" id="{D7CB9F7F-AFC7-4D1D-B1CF-04F642890550}"/>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472" name="Text Box 12">
          <a:extLst>
            <a:ext uri="{FF2B5EF4-FFF2-40B4-BE49-F238E27FC236}">
              <a16:creationId xmlns="" xmlns:a16="http://schemas.microsoft.com/office/drawing/2014/main" id="{F916747E-46BA-44F1-8838-CC9B20FA8626}"/>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85725</xdr:colOff>
      <xdr:row>15</xdr:row>
      <xdr:rowOff>253558</xdr:rowOff>
    </xdr:to>
    <xdr:sp macro="" textlink="">
      <xdr:nvSpPr>
        <xdr:cNvPr id="473" name="Text Box 10">
          <a:extLst>
            <a:ext uri="{FF2B5EF4-FFF2-40B4-BE49-F238E27FC236}">
              <a16:creationId xmlns="" xmlns:a16="http://schemas.microsoft.com/office/drawing/2014/main" id="{CAAF6560-E9E1-4004-9416-5CA0F34DB772}"/>
            </a:ext>
          </a:extLst>
        </xdr:cNvPr>
        <xdr:cNvSpPr txBox="1">
          <a:spLocks noChangeArrowheads="1"/>
        </xdr:cNvSpPr>
      </xdr:nvSpPr>
      <xdr:spPr bwMode="auto">
        <a:xfrm>
          <a:off x="3381375" y="2981325"/>
          <a:ext cx="76200" cy="1197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85725</xdr:colOff>
      <xdr:row>15</xdr:row>
      <xdr:rowOff>253558</xdr:rowOff>
    </xdr:to>
    <xdr:sp macro="" textlink="">
      <xdr:nvSpPr>
        <xdr:cNvPr id="474" name="Text Box 11">
          <a:extLst>
            <a:ext uri="{FF2B5EF4-FFF2-40B4-BE49-F238E27FC236}">
              <a16:creationId xmlns="" xmlns:a16="http://schemas.microsoft.com/office/drawing/2014/main" id="{27FE9166-ADE3-4483-A671-010F74119106}"/>
            </a:ext>
          </a:extLst>
        </xdr:cNvPr>
        <xdr:cNvSpPr txBox="1">
          <a:spLocks noChangeArrowheads="1"/>
        </xdr:cNvSpPr>
      </xdr:nvSpPr>
      <xdr:spPr bwMode="auto">
        <a:xfrm>
          <a:off x="3381375" y="2981325"/>
          <a:ext cx="76200" cy="1197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85725</xdr:colOff>
      <xdr:row>15</xdr:row>
      <xdr:rowOff>253558</xdr:rowOff>
    </xdr:to>
    <xdr:sp macro="" textlink="">
      <xdr:nvSpPr>
        <xdr:cNvPr id="475" name="Text Box 12">
          <a:extLst>
            <a:ext uri="{FF2B5EF4-FFF2-40B4-BE49-F238E27FC236}">
              <a16:creationId xmlns="" xmlns:a16="http://schemas.microsoft.com/office/drawing/2014/main" id="{5999FA80-BC11-4FC4-8A85-0F95F85BB2CF}"/>
            </a:ext>
          </a:extLst>
        </xdr:cNvPr>
        <xdr:cNvSpPr txBox="1">
          <a:spLocks noChangeArrowheads="1"/>
        </xdr:cNvSpPr>
      </xdr:nvSpPr>
      <xdr:spPr bwMode="auto">
        <a:xfrm>
          <a:off x="3381375" y="2981325"/>
          <a:ext cx="76200" cy="1197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476" name="Text Box 10">
          <a:extLst>
            <a:ext uri="{FF2B5EF4-FFF2-40B4-BE49-F238E27FC236}">
              <a16:creationId xmlns="" xmlns:a16="http://schemas.microsoft.com/office/drawing/2014/main" id="{394971A7-0FE2-4234-AE93-A6F9FE8B60B2}"/>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477" name="Text Box 11">
          <a:extLst>
            <a:ext uri="{FF2B5EF4-FFF2-40B4-BE49-F238E27FC236}">
              <a16:creationId xmlns="" xmlns:a16="http://schemas.microsoft.com/office/drawing/2014/main" id="{06E20926-751A-4D2A-8869-D829CD2AE381}"/>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478" name="Text Box 12">
          <a:extLst>
            <a:ext uri="{FF2B5EF4-FFF2-40B4-BE49-F238E27FC236}">
              <a16:creationId xmlns="" xmlns:a16="http://schemas.microsoft.com/office/drawing/2014/main" id="{D341C4F8-6D2A-42CE-B115-CCBA5795BA70}"/>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479" name="Text Box 10">
          <a:extLst>
            <a:ext uri="{FF2B5EF4-FFF2-40B4-BE49-F238E27FC236}">
              <a16:creationId xmlns="" xmlns:a16="http://schemas.microsoft.com/office/drawing/2014/main" id="{D7A74A19-050D-48B6-9D35-225F9C3EC0DD}"/>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480" name="Text Box 11">
          <a:extLst>
            <a:ext uri="{FF2B5EF4-FFF2-40B4-BE49-F238E27FC236}">
              <a16:creationId xmlns="" xmlns:a16="http://schemas.microsoft.com/office/drawing/2014/main" id="{493BCD37-6D92-41BA-8216-CA4521201A91}"/>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481" name="Text Box 12">
          <a:extLst>
            <a:ext uri="{FF2B5EF4-FFF2-40B4-BE49-F238E27FC236}">
              <a16:creationId xmlns="" xmlns:a16="http://schemas.microsoft.com/office/drawing/2014/main" id="{F7E4C977-C6A4-4E3E-8CF8-BE3F8EB4C5CD}"/>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482" name="Text Box 10">
          <a:extLst>
            <a:ext uri="{FF2B5EF4-FFF2-40B4-BE49-F238E27FC236}">
              <a16:creationId xmlns="" xmlns:a16="http://schemas.microsoft.com/office/drawing/2014/main" id="{A1354916-4854-4302-B47E-5E7233D85B99}"/>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483" name="Text Box 11">
          <a:extLst>
            <a:ext uri="{FF2B5EF4-FFF2-40B4-BE49-F238E27FC236}">
              <a16:creationId xmlns="" xmlns:a16="http://schemas.microsoft.com/office/drawing/2014/main" id="{42E0E48C-C83C-4EAF-84EA-E4D8DC8E6804}"/>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484" name="Text Box 12">
          <a:extLst>
            <a:ext uri="{FF2B5EF4-FFF2-40B4-BE49-F238E27FC236}">
              <a16:creationId xmlns="" xmlns:a16="http://schemas.microsoft.com/office/drawing/2014/main" id="{FFAC4BFA-C568-4C2B-A36C-3A4B8FC65E65}"/>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85725</xdr:colOff>
      <xdr:row>15</xdr:row>
      <xdr:rowOff>253558</xdr:rowOff>
    </xdr:to>
    <xdr:sp macro="" textlink="">
      <xdr:nvSpPr>
        <xdr:cNvPr id="485" name="Text Box 10">
          <a:extLst>
            <a:ext uri="{FF2B5EF4-FFF2-40B4-BE49-F238E27FC236}">
              <a16:creationId xmlns="" xmlns:a16="http://schemas.microsoft.com/office/drawing/2014/main" id="{D970D6FF-267A-4495-9153-76C53131D307}"/>
            </a:ext>
          </a:extLst>
        </xdr:cNvPr>
        <xdr:cNvSpPr txBox="1">
          <a:spLocks noChangeArrowheads="1"/>
        </xdr:cNvSpPr>
      </xdr:nvSpPr>
      <xdr:spPr bwMode="auto">
        <a:xfrm>
          <a:off x="3381375" y="2981325"/>
          <a:ext cx="76200" cy="1197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85725</xdr:colOff>
      <xdr:row>15</xdr:row>
      <xdr:rowOff>253558</xdr:rowOff>
    </xdr:to>
    <xdr:sp macro="" textlink="">
      <xdr:nvSpPr>
        <xdr:cNvPr id="486" name="Text Box 11">
          <a:extLst>
            <a:ext uri="{FF2B5EF4-FFF2-40B4-BE49-F238E27FC236}">
              <a16:creationId xmlns="" xmlns:a16="http://schemas.microsoft.com/office/drawing/2014/main" id="{7D25AC39-4125-456F-AB89-B1AD6D77D082}"/>
            </a:ext>
          </a:extLst>
        </xdr:cNvPr>
        <xdr:cNvSpPr txBox="1">
          <a:spLocks noChangeArrowheads="1"/>
        </xdr:cNvSpPr>
      </xdr:nvSpPr>
      <xdr:spPr bwMode="auto">
        <a:xfrm>
          <a:off x="3381375" y="2981325"/>
          <a:ext cx="76200" cy="1197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85725</xdr:colOff>
      <xdr:row>15</xdr:row>
      <xdr:rowOff>253558</xdr:rowOff>
    </xdr:to>
    <xdr:sp macro="" textlink="">
      <xdr:nvSpPr>
        <xdr:cNvPr id="487" name="Text Box 12">
          <a:extLst>
            <a:ext uri="{FF2B5EF4-FFF2-40B4-BE49-F238E27FC236}">
              <a16:creationId xmlns="" xmlns:a16="http://schemas.microsoft.com/office/drawing/2014/main" id="{46637649-1E2A-44C2-8EF4-8B2B3A952DC5}"/>
            </a:ext>
          </a:extLst>
        </xdr:cNvPr>
        <xdr:cNvSpPr txBox="1">
          <a:spLocks noChangeArrowheads="1"/>
        </xdr:cNvSpPr>
      </xdr:nvSpPr>
      <xdr:spPr bwMode="auto">
        <a:xfrm>
          <a:off x="3381375" y="2981325"/>
          <a:ext cx="76200" cy="1197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488" name="Text Box 10">
          <a:extLst>
            <a:ext uri="{FF2B5EF4-FFF2-40B4-BE49-F238E27FC236}">
              <a16:creationId xmlns="" xmlns:a16="http://schemas.microsoft.com/office/drawing/2014/main" id="{1092DC99-375F-4D51-85A0-C656B62D4FE2}"/>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489" name="Text Box 11">
          <a:extLst>
            <a:ext uri="{FF2B5EF4-FFF2-40B4-BE49-F238E27FC236}">
              <a16:creationId xmlns="" xmlns:a16="http://schemas.microsoft.com/office/drawing/2014/main" id="{4986DA04-B243-400D-AA7D-349A0C973189}"/>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490" name="Text Box 12">
          <a:extLst>
            <a:ext uri="{FF2B5EF4-FFF2-40B4-BE49-F238E27FC236}">
              <a16:creationId xmlns="" xmlns:a16="http://schemas.microsoft.com/office/drawing/2014/main" id="{1D596C4B-5355-4E72-863B-022783450223}"/>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85725</xdr:colOff>
      <xdr:row>15</xdr:row>
      <xdr:rowOff>253558</xdr:rowOff>
    </xdr:to>
    <xdr:sp macro="" textlink="">
      <xdr:nvSpPr>
        <xdr:cNvPr id="491" name="Text Box 10">
          <a:extLst>
            <a:ext uri="{FF2B5EF4-FFF2-40B4-BE49-F238E27FC236}">
              <a16:creationId xmlns="" xmlns:a16="http://schemas.microsoft.com/office/drawing/2014/main" id="{949E55C1-BDC1-4C83-AD6A-21C63D05B82D}"/>
            </a:ext>
          </a:extLst>
        </xdr:cNvPr>
        <xdr:cNvSpPr txBox="1">
          <a:spLocks noChangeArrowheads="1"/>
        </xdr:cNvSpPr>
      </xdr:nvSpPr>
      <xdr:spPr bwMode="auto">
        <a:xfrm>
          <a:off x="3381375" y="2981325"/>
          <a:ext cx="76200" cy="1197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85725</xdr:colOff>
      <xdr:row>15</xdr:row>
      <xdr:rowOff>253558</xdr:rowOff>
    </xdr:to>
    <xdr:sp macro="" textlink="">
      <xdr:nvSpPr>
        <xdr:cNvPr id="492" name="Text Box 11">
          <a:extLst>
            <a:ext uri="{FF2B5EF4-FFF2-40B4-BE49-F238E27FC236}">
              <a16:creationId xmlns="" xmlns:a16="http://schemas.microsoft.com/office/drawing/2014/main" id="{A5894E94-6CE8-4633-AC76-F5F086D194B3}"/>
            </a:ext>
          </a:extLst>
        </xdr:cNvPr>
        <xdr:cNvSpPr txBox="1">
          <a:spLocks noChangeArrowheads="1"/>
        </xdr:cNvSpPr>
      </xdr:nvSpPr>
      <xdr:spPr bwMode="auto">
        <a:xfrm>
          <a:off x="3381375" y="2981325"/>
          <a:ext cx="76200" cy="1197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85725</xdr:colOff>
      <xdr:row>15</xdr:row>
      <xdr:rowOff>253558</xdr:rowOff>
    </xdr:to>
    <xdr:sp macro="" textlink="">
      <xdr:nvSpPr>
        <xdr:cNvPr id="493" name="Text Box 12">
          <a:extLst>
            <a:ext uri="{FF2B5EF4-FFF2-40B4-BE49-F238E27FC236}">
              <a16:creationId xmlns="" xmlns:a16="http://schemas.microsoft.com/office/drawing/2014/main" id="{50FD5A47-F5C9-4C32-8F47-BCC8D7B84E35}"/>
            </a:ext>
          </a:extLst>
        </xdr:cNvPr>
        <xdr:cNvSpPr txBox="1">
          <a:spLocks noChangeArrowheads="1"/>
        </xdr:cNvSpPr>
      </xdr:nvSpPr>
      <xdr:spPr bwMode="auto">
        <a:xfrm>
          <a:off x="3381375" y="2981325"/>
          <a:ext cx="76200" cy="1197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494" name="Text Box 10">
          <a:extLst>
            <a:ext uri="{FF2B5EF4-FFF2-40B4-BE49-F238E27FC236}">
              <a16:creationId xmlns="" xmlns:a16="http://schemas.microsoft.com/office/drawing/2014/main" id="{A61FDC46-D545-43FF-BA5C-23BB5C69ED22}"/>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495" name="Text Box 11">
          <a:extLst>
            <a:ext uri="{FF2B5EF4-FFF2-40B4-BE49-F238E27FC236}">
              <a16:creationId xmlns="" xmlns:a16="http://schemas.microsoft.com/office/drawing/2014/main" id="{E2D405F7-7948-4EDB-A4D2-A372CC074EBB}"/>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496" name="Text Box 12">
          <a:extLst>
            <a:ext uri="{FF2B5EF4-FFF2-40B4-BE49-F238E27FC236}">
              <a16:creationId xmlns="" xmlns:a16="http://schemas.microsoft.com/office/drawing/2014/main" id="{1A6664D1-A702-4375-8B0B-C54CBB607BAA}"/>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497" name="Text Box 10">
          <a:extLst>
            <a:ext uri="{FF2B5EF4-FFF2-40B4-BE49-F238E27FC236}">
              <a16:creationId xmlns="" xmlns:a16="http://schemas.microsoft.com/office/drawing/2014/main" id="{5221DA3C-956F-4767-A114-4FFB39AAC00B}"/>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498" name="Text Box 11">
          <a:extLst>
            <a:ext uri="{FF2B5EF4-FFF2-40B4-BE49-F238E27FC236}">
              <a16:creationId xmlns="" xmlns:a16="http://schemas.microsoft.com/office/drawing/2014/main" id="{0D34829B-0D1A-4EED-B351-097E9D9E1D13}"/>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499" name="Text Box 12">
          <a:extLst>
            <a:ext uri="{FF2B5EF4-FFF2-40B4-BE49-F238E27FC236}">
              <a16:creationId xmlns="" xmlns:a16="http://schemas.microsoft.com/office/drawing/2014/main" id="{3901A3BB-D711-40ED-B097-5FAF895126BC}"/>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500" name="Text Box 10">
          <a:extLst>
            <a:ext uri="{FF2B5EF4-FFF2-40B4-BE49-F238E27FC236}">
              <a16:creationId xmlns="" xmlns:a16="http://schemas.microsoft.com/office/drawing/2014/main" id="{07B19F0F-CB79-45A1-8CD1-576779A64C74}"/>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501" name="Text Box 11">
          <a:extLst>
            <a:ext uri="{FF2B5EF4-FFF2-40B4-BE49-F238E27FC236}">
              <a16:creationId xmlns="" xmlns:a16="http://schemas.microsoft.com/office/drawing/2014/main" id="{8626A25C-5BE9-4066-B425-4B47EF38426A}"/>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502" name="Text Box 12">
          <a:extLst>
            <a:ext uri="{FF2B5EF4-FFF2-40B4-BE49-F238E27FC236}">
              <a16:creationId xmlns="" xmlns:a16="http://schemas.microsoft.com/office/drawing/2014/main" id="{855A5822-7EF4-4024-908D-594BED6B00FE}"/>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503" name="Text Box 10">
          <a:extLst>
            <a:ext uri="{FF2B5EF4-FFF2-40B4-BE49-F238E27FC236}">
              <a16:creationId xmlns="" xmlns:a16="http://schemas.microsoft.com/office/drawing/2014/main" id="{3602C99E-1AE0-410E-AA4C-0268115F5BF8}"/>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504" name="Text Box 11">
          <a:extLst>
            <a:ext uri="{FF2B5EF4-FFF2-40B4-BE49-F238E27FC236}">
              <a16:creationId xmlns="" xmlns:a16="http://schemas.microsoft.com/office/drawing/2014/main" id="{EEDBEC35-F0DF-4B45-9AFA-631597799427}"/>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505" name="Text Box 12">
          <a:extLst>
            <a:ext uri="{FF2B5EF4-FFF2-40B4-BE49-F238E27FC236}">
              <a16:creationId xmlns="" xmlns:a16="http://schemas.microsoft.com/office/drawing/2014/main" id="{7276F80D-BC76-4A3B-BC06-F39CE9B58FD4}"/>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506" name="Text Box 10">
          <a:extLst>
            <a:ext uri="{FF2B5EF4-FFF2-40B4-BE49-F238E27FC236}">
              <a16:creationId xmlns="" xmlns:a16="http://schemas.microsoft.com/office/drawing/2014/main" id="{BF58EEDE-8A5D-4793-B5D5-56DD8393E510}"/>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507" name="Text Box 11">
          <a:extLst>
            <a:ext uri="{FF2B5EF4-FFF2-40B4-BE49-F238E27FC236}">
              <a16:creationId xmlns="" xmlns:a16="http://schemas.microsoft.com/office/drawing/2014/main" id="{70FE1F43-1AC5-4E27-87A9-E2A9A3B448D0}"/>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508" name="Text Box 12">
          <a:extLst>
            <a:ext uri="{FF2B5EF4-FFF2-40B4-BE49-F238E27FC236}">
              <a16:creationId xmlns="" xmlns:a16="http://schemas.microsoft.com/office/drawing/2014/main" id="{436806F1-9AA9-4E3A-B1F6-871C71A2EBFF}"/>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85725</xdr:colOff>
      <xdr:row>15</xdr:row>
      <xdr:rowOff>253558</xdr:rowOff>
    </xdr:to>
    <xdr:sp macro="" textlink="">
      <xdr:nvSpPr>
        <xdr:cNvPr id="509" name="Text Box 10">
          <a:extLst>
            <a:ext uri="{FF2B5EF4-FFF2-40B4-BE49-F238E27FC236}">
              <a16:creationId xmlns="" xmlns:a16="http://schemas.microsoft.com/office/drawing/2014/main" id="{C063C6F6-CD10-4D7D-B855-6F599BAE8F56}"/>
            </a:ext>
          </a:extLst>
        </xdr:cNvPr>
        <xdr:cNvSpPr txBox="1">
          <a:spLocks noChangeArrowheads="1"/>
        </xdr:cNvSpPr>
      </xdr:nvSpPr>
      <xdr:spPr bwMode="auto">
        <a:xfrm>
          <a:off x="3381375" y="2981325"/>
          <a:ext cx="76200" cy="1197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85725</xdr:colOff>
      <xdr:row>15</xdr:row>
      <xdr:rowOff>253558</xdr:rowOff>
    </xdr:to>
    <xdr:sp macro="" textlink="">
      <xdr:nvSpPr>
        <xdr:cNvPr id="510" name="Text Box 11">
          <a:extLst>
            <a:ext uri="{FF2B5EF4-FFF2-40B4-BE49-F238E27FC236}">
              <a16:creationId xmlns="" xmlns:a16="http://schemas.microsoft.com/office/drawing/2014/main" id="{F23521EE-395E-4862-87F5-AE11FB740CC0}"/>
            </a:ext>
          </a:extLst>
        </xdr:cNvPr>
        <xdr:cNvSpPr txBox="1">
          <a:spLocks noChangeArrowheads="1"/>
        </xdr:cNvSpPr>
      </xdr:nvSpPr>
      <xdr:spPr bwMode="auto">
        <a:xfrm>
          <a:off x="3381375" y="2981325"/>
          <a:ext cx="76200" cy="1197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85725</xdr:colOff>
      <xdr:row>15</xdr:row>
      <xdr:rowOff>253558</xdr:rowOff>
    </xdr:to>
    <xdr:sp macro="" textlink="">
      <xdr:nvSpPr>
        <xdr:cNvPr id="511" name="Text Box 12">
          <a:extLst>
            <a:ext uri="{FF2B5EF4-FFF2-40B4-BE49-F238E27FC236}">
              <a16:creationId xmlns="" xmlns:a16="http://schemas.microsoft.com/office/drawing/2014/main" id="{CFDD27EB-077E-4119-9CA9-96AB20912759}"/>
            </a:ext>
          </a:extLst>
        </xdr:cNvPr>
        <xdr:cNvSpPr txBox="1">
          <a:spLocks noChangeArrowheads="1"/>
        </xdr:cNvSpPr>
      </xdr:nvSpPr>
      <xdr:spPr bwMode="auto">
        <a:xfrm>
          <a:off x="3381375" y="2981325"/>
          <a:ext cx="76200" cy="1197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512" name="Text Box 10">
          <a:extLst>
            <a:ext uri="{FF2B5EF4-FFF2-40B4-BE49-F238E27FC236}">
              <a16:creationId xmlns="" xmlns:a16="http://schemas.microsoft.com/office/drawing/2014/main" id="{7F45A91C-DF60-46D6-9576-E044C213B7E5}"/>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513" name="Text Box 11">
          <a:extLst>
            <a:ext uri="{FF2B5EF4-FFF2-40B4-BE49-F238E27FC236}">
              <a16:creationId xmlns="" xmlns:a16="http://schemas.microsoft.com/office/drawing/2014/main" id="{A2E157D9-0DB3-4EA6-B91C-E96ECB4675E6}"/>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514" name="Text Box 12">
          <a:extLst>
            <a:ext uri="{FF2B5EF4-FFF2-40B4-BE49-F238E27FC236}">
              <a16:creationId xmlns="" xmlns:a16="http://schemas.microsoft.com/office/drawing/2014/main" id="{10BDDAB3-1B91-497A-84D4-C451BFB3C5D4}"/>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85725</xdr:colOff>
      <xdr:row>15</xdr:row>
      <xdr:rowOff>253558</xdr:rowOff>
    </xdr:to>
    <xdr:sp macro="" textlink="">
      <xdr:nvSpPr>
        <xdr:cNvPr id="515" name="Text Box 10">
          <a:extLst>
            <a:ext uri="{FF2B5EF4-FFF2-40B4-BE49-F238E27FC236}">
              <a16:creationId xmlns="" xmlns:a16="http://schemas.microsoft.com/office/drawing/2014/main" id="{3FA188AB-3DC0-4212-93AE-D18EED836C65}"/>
            </a:ext>
          </a:extLst>
        </xdr:cNvPr>
        <xdr:cNvSpPr txBox="1">
          <a:spLocks noChangeArrowheads="1"/>
        </xdr:cNvSpPr>
      </xdr:nvSpPr>
      <xdr:spPr bwMode="auto">
        <a:xfrm>
          <a:off x="3381375" y="2981325"/>
          <a:ext cx="76200" cy="1197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85725</xdr:colOff>
      <xdr:row>15</xdr:row>
      <xdr:rowOff>253558</xdr:rowOff>
    </xdr:to>
    <xdr:sp macro="" textlink="">
      <xdr:nvSpPr>
        <xdr:cNvPr id="516" name="Text Box 11">
          <a:extLst>
            <a:ext uri="{FF2B5EF4-FFF2-40B4-BE49-F238E27FC236}">
              <a16:creationId xmlns="" xmlns:a16="http://schemas.microsoft.com/office/drawing/2014/main" id="{74CBF80D-9AE0-4981-98BF-80D6FD65A32A}"/>
            </a:ext>
          </a:extLst>
        </xdr:cNvPr>
        <xdr:cNvSpPr txBox="1">
          <a:spLocks noChangeArrowheads="1"/>
        </xdr:cNvSpPr>
      </xdr:nvSpPr>
      <xdr:spPr bwMode="auto">
        <a:xfrm>
          <a:off x="3381375" y="2981325"/>
          <a:ext cx="76200" cy="1197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85725</xdr:colOff>
      <xdr:row>15</xdr:row>
      <xdr:rowOff>253558</xdr:rowOff>
    </xdr:to>
    <xdr:sp macro="" textlink="">
      <xdr:nvSpPr>
        <xdr:cNvPr id="517" name="Text Box 12">
          <a:extLst>
            <a:ext uri="{FF2B5EF4-FFF2-40B4-BE49-F238E27FC236}">
              <a16:creationId xmlns="" xmlns:a16="http://schemas.microsoft.com/office/drawing/2014/main" id="{01321948-576C-4A59-851B-842C8DDB4451}"/>
            </a:ext>
          </a:extLst>
        </xdr:cNvPr>
        <xdr:cNvSpPr txBox="1">
          <a:spLocks noChangeArrowheads="1"/>
        </xdr:cNvSpPr>
      </xdr:nvSpPr>
      <xdr:spPr bwMode="auto">
        <a:xfrm>
          <a:off x="3381375" y="2981325"/>
          <a:ext cx="76200" cy="1197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518" name="Text Box 10">
          <a:extLst>
            <a:ext uri="{FF2B5EF4-FFF2-40B4-BE49-F238E27FC236}">
              <a16:creationId xmlns="" xmlns:a16="http://schemas.microsoft.com/office/drawing/2014/main" id="{9521C4E6-8EB0-49E7-97A9-38FA3AFC185A}"/>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519" name="Text Box 11">
          <a:extLst>
            <a:ext uri="{FF2B5EF4-FFF2-40B4-BE49-F238E27FC236}">
              <a16:creationId xmlns="" xmlns:a16="http://schemas.microsoft.com/office/drawing/2014/main" id="{B660333B-AA9E-496E-B29E-288E4E9B5718}"/>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520" name="Text Box 12">
          <a:extLst>
            <a:ext uri="{FF2B5EF4-FFF2-40B4-BE49-F238E27FC236}">
              <a16:creationId xmlns="" xmlns:a16="http://schemas.microsoft.com/office/drawing/2014/main" id="{0112E460-8478-401E-AB65-6723986828DB}"/>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521" name="Text Box 10">
          <a:extLst>
            <a:ext uri="{FF2B5EF4-FFF2-40B4-BE49-F238E27FC236}">
              <a16:creationId xmlns="" xmlns:a16="http://schemas.microsoft.com/office/drawing/2014/main" id="{75BD9835-3548-4CED-AE9B-2CA7E9166B9E}"/>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522" name="Text Box 11">
          <a:extLst>
            <a:ext uri="{FF2B5EF4-FFF2-40B4-BE49-F238E27FC236}">
              <a16:creationId xmlns="" xmlns:a16="http://schemas.microsoft.com/office/drawing/2014/main" id="{1987ED1A-471B-49C1-A816-027128096698}"/>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523" name="Text Box 12">
          <a:extLst>
            <a:ext uri="{FF2B5EF4-FFF2-40B4-BE49-F238E27FC236}">
              <a16:creationId xmlns="" xmlns:a16="http://schemas.microsoft.com/office/drawing/2014/main" id="{FC56DF20-7967-47B6-AD8D-BF622CBD8C41}"/>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524" name="Text Box 10">
          <a:extLst>
            <a:ext uri="{FF2B5EF4-FFF2-40B4-BE49-F238E27FC236}">
              <a16:creationId xmlns="" xmlns:a16="http://schemas.microsoft.com/office/drawing/2014/main" id="{ACEA86DA-7F76-4C0E-98F2-6FA69316A67F}"/>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525" name="Text Box 11">
          <a:extLst>
            <a:ext uri="{FF2B5EF4-FFF2-40B4-BE49-F238E27FC236}">
              <a16:creationId xmlns="" xmlns:a16="http://schemas.microsoft.com/office/drawing/2014/main" id="{924FA278-0C3E-4763-9369-E8CF063C2F0E}"/>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526" name="Text Box 12">
          <a:extLst>
            <a:ext uri="{FF2B5EF4-FFF2-40B4-BE49-F238E27FC236}">
              <a16:creationId xmlns="" xmlns:a16="http://schemas.microsoft.com/office/drawing/2014/main" id="{1D96A306-2E51-4B30-AD53-02C4E6F065E4}"/>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85725</xdr:colOff>
      <xdr:row>15</xdr:row>
      <xdr:rowOff>253558</xdr:rowOff>
    </xdr:to>
    <xdr:sp macro="" textlink="">
      <xdr:nvSpPr>
        <xdr:cNvPr id="527" name="Text Box 10">
          <a:extLst>
            <a:ext uri="{FF2B5EF4-FFF2-40B4-BE49-F238E27FC236}">
              <a16:creationId xmlns="" xmlns:a16="http://schemas.microsoft.com/office/drawing/2014/main" id="{A8CB5A26-AC5E-410A-86F9-9209177C3BA9}"/>
            </a:ext>
          </a:extLst>
        </xdr:cNvPr>
        <xdr:cNvSpPr txBox="1">
          <a:spLocks noChangeArrowheads="1"/>
        </xdr:cNvSpPr>
      </xdr:nvSpPr>
      <xdr:spPr bwMode="auto">
        <a:xfrm>
          <a:off x="3381375" y="2981325"/>
          <a:ext cx="76200" cy="1197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85725</xdr:colOff>
      <xdr:row>15</xdr:row>
      <xdr:rowOff>253558</xdr:rowOff>
    </xdr:to>
    <xdr:sp macro="" textlink="">
      <xdr:nvSpPr>
        <xdr:cNvPr id="528" name="Text Box 11">
          <a:extLst>
            <a:ext uri="{FF2B5EF4-FFF2-40B4-BE49-F238E27FC236}">
              <a16:creationId xmlns="" xmlns:a16="http://schemas.microsoft.com/office/drawing/2014/main" id="{8D3F39E1-37FB-477B-95D8-858E4A898AEA}"/>
            </a:ext>
          </a:extLst>
        </xdr:cNvPr>
        <xdr:cNvSpPr txBox="1">
          <a:spLocks noChangeArrowheads="1"/>
        </xdr:cNvSpPr>
      </xdr:nvSpPr>
      <xdr:spPr bwMode="auto">
        <a:xfrm>
          <a:off x="3381375" y="2981325"/>
          <a:ext cx="76200" cy="1197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85725</xdr:colOff>
      <xdr:row>15</xdr:row>
      <xdr:rowOff>253558</xdr:rowOff>
    </xdr:to>
    <xdr:sp macro="" textlink="">
      <xdr:nvSpPr>
        <xdr:cNvPr id="529" name="Text Box 12">
          <a:extLst>
            <a:ext uri="{FF2B5EF4-FFF2-40B4-BE49-F238E27FC236}">
              <a16:creationId xmlns="" xmlns:a16="http://schemas.microsoft.com/office/drawing/2014/main" id="{E067D26E-9249-449D-8FDD-48566600FF61}"/>
            </a:ext>
          </a:extLst>
        </xdr:cNvPr>
        <xdr:cNvSpPr txBox="1">
          <a:spLocks noChangeArrowheads="1"/>
        </xdr:cNvSpPr>
      </xdr:nvSpPr>
      <xdr:spPr bwMode="auto">
        <a:xfrm>
          <a:off x="3381375" y="2981325"/>
          <a:ext cx="76200" cy="1197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530" name="Text Box 10">
          <a:extLst>
            <a:ext uri="{FF2B5EF4-FFF2-40B4-BE49-F238E27FC236}">
              <a16:creationId xmlns="" xmlns:a16="http://schemas.microsoft.com/office/drawing/2014/main" id="{013639C2-6555-4931-B061-6F39D3CA6E5E}"/>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531" name="Text Box 11">
          <a:extLst>
            <a:ext uri="{FF2B5EF4-FFF2-40B4-BE49-F238E27FC236}">
              <a16:creationId xmlns="" xmlns:a16="http://schemas.microsoft.com/office/drawing/2014/main" id="{258BEDC9-6589-445C-8DE7-748E5235216C}"/>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532" name="Text Box 12">
          <a:extLst>
            <a:ext uri="{FF2B5EF4-FFF2-40B4-BE49-F238E27FC236}">
              <a16:creationId xmlns="" xmlns:a16="http://schemas.microsoft.com/office/drawing/2014/main" id="{1F173188-1825-4467-A227-89496E645A22}"/>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85725</xdr:colOff>
      <xdr:row>15</xdr:row>
      <xdr:rowOff>253558</xdr:rowOff>
    </xdr:to>
    <xdr:sp macro="" textlink="">
      <xdr:nvSpPr>
        <xdr:cNvPr id="533" name="Text Box 10">
          <a:extLst>
            <a:ext uri="{FF2B5EF4-FFF2-40B4-BE49-F238E27FC236}">
              <a16:creationId xmlns="" xmlns:a16="http://schemas.microsoft.com/office/drawing/2014/main" id="{427D27EC-60F0-4531-894D-7C234387DAC1}"/>
            </a:ext>
          </a:extLst>
        </xdr:cNvPr>
        <xdr:cNvSpPr txBox="1">
          <a:spLocks noChangeArrowheads="1"/>
        </xdr:cNvSpPr>
      </xdr:nvSpPr>
      <xdr:spPr bwMode="auto">
        <a:xfrm>
          <a:off x="3381375" y="2981325"/>
          <a:ext cx="76200" cy="1197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85725</xdr:colOff>
      <xdr:row>15</xdr:row>
      <xdr:rowOff>253558</xdr:rowOff>
    </xdr:to>
    <xdr:sp macro="" textlink="">
      <xdr:nvSpPr>
        <xdr:cNvPr id="534" name="Text Box 11">
          <a:extLst>
            <a:ext uri="{FF2B5EF4-FFF2-40B4-BE49-F238E27FC236}">
              <a16:creationId xmlns="" xmlns:a16="http://schemas.microsoft.com/office/drawing/2014/main" id="{345086D3-E9D0-4354-BC81-255C03191678}"/>
            </a:ext>
          </a:extLst>
        </xdr:cNvPr>
        <xdr:cNvSpPr txBox="1">
          <a:spLocks noChangeArrowheads="1"/>
        </xdr:cNvSpPr>
      </xdr:nvSpPr>
      <xdr:spPr bwMode="auto">
        <a:xfrm>
          <a:off x="3381375" y="2981325"/>
          <a:ext cx="76200" cy="1197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85725</xdr:colOff>
      <xdr:row>15</xdr:row>
      <xdr:rowOff>253558</xdr:rowOff>
    </xdr:to>
    <xdr:sp macro="" textlink="">
      <xdr:nvSpPr>
        <xdr:cNvPr id="535" name="Text Box 12">
          <a:extLst>
            <a:ext uri="{FF2B5EF4-FFF2-40B4-BE49-F238E27FC236}">
              <a16:creationId xmlns="" xmlns:a16="http://schemas.microsoft.com/office/drawing/2014/main" id="{B8470468-80E8-4E40-9D44-E4763618DCCE}"/>
            </a:ext>
          </a:extLst>
        </xdr:cNvPr>
        <xdr:cNvSpPr txBox="1">
          <a:spLocks noChangeArrowheads="1"/>
        </xdr:cNvSpPr>
      </xdr:nvSpPr>
      <xdr:spPr bwMode="auto">
        <a:xfrm>
          <a:off x="3381375" y="2981325"/>
          <a:ext cx="76200" cy="1197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536" name="Text Box 10">
          <a:extLst>
            <a:ext uri="{FF2B5EF4-FFF2-40B4-BE49-F238E27FC236}">
              <a16:creationId xmlns="" xmlns:a16="http://schemas.microsoft.com/office/drawing/2014/main" id="{7244201C-8F5D-4314-AF36-B447E22F446B}"/>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537" name="Text Box 11">
          <a:extLst>
            <a:ext uri="{FF2B5EF4-FFF2-40B4-BE49-F238E27FC236}">
              <a16:creationId xmlns="" xmlns:a16="http://schemas.microsoft.com/office/drawing/2014/main" id="{F5A0C2AE-2036-4195-85E0-04C7F7F7908B}"/>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538" name="Text Box 12">
          <a:extLst>
            <a:ext uri="{FF2B5EF4-FFF2-40B4-BE49-F238E27FC236}">
              <a16:creationId xmlns="" xmlns:a16="http://schemas.microsoft.com/office/drawing/2014/main" id="{3362C6BB-30B6-46BE-A95E-822BF42D9180}"/>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539" name="Text Box 10">
          <a:extLst>
            <a:ext uri="{FF2B5EF4-FFF2-40B4-BE49-F238E27FC236}">
              <a16:creationId xmlns="" xmlns:a16="http://schemas.microsoft.com/office/drawing/2014/main" id="{CA7E4791-3C03-4E8B-B0FB-A2E6C422B24F}"/>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540" name="Text Box 11">
          <a:extLst>
            <a:ext uri="{FF2B5EF4-FFF2-40B4-BE49-F238E27FC236}">
              <a16:creationId xmlns="" xmlns:a16="http://schemas.microsoft.com/office/drawing/2014/main" id="{6DEDEDD5-7442-43CD-A334-D3D85F6F36E9}"/>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541" name="Text Box 12">
          <a:extLst>
            <a:ext uri="{FF2B5EF4-FFF2-40B4-BE49-F238E27FC236}">
              <a16:creationId xmlns="" xmlns:a16="http://schemas.microsoft.com/office/drawing/2014/main" id="{8DCB5792-69EA-4F47-A596-F51A44253EEF}"/>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542" name="Text Box 10">
          <a:extLst>
            <a:ext uri="{FF2B5EF4-FFF2-40B4-BE49-F238E27FC236}">
              <a16:creationId xmlns="" xmlns:a16="http://schemas.microsoft.com/office/drawing/2014/main" id="{FDD594EB-B716-4153-9177-2369BDF0A44A}"/>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543" name="Text Box 11">
          <a:extLst>
            <a:ext uri="{FF2B5EF4-FFF2-40B4-BE49-F238E27FC236}">
              <a16:creationId xmlns="" xmlns:a16="http://schemas.microsoft.com/office/drawing/2014/main" id="{4B4C72E5-431A-4ED5-BC95-EEB69E21379B}"/>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544" name="Text Box 12">
          <a:extLst>
            <a:ext uri="{FF2B5EF4-FFF2-40B4-BE49-F238E27FC236}">
              <a16:creationId xmlns="" xmlns:a16="http://schemas.microsoft.com/office/drawing/2014/main" id="{C9FCAA8D-592E-4FE8-805B-9DC5F88643DE}"/>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85725</xdr:colOff>
      <xdr:row>15</xdr:row>
      <xdr:rowOff>253558</xdr:rowOff>
    </xdr:to>
    <xdr:sp macro="" textlink="">
      <xdr:nvSpPr>
        <xdr:cNvPr id="545" name="Text Box 10">
          <a:extLst>
            <a:ext uri="{FF2B5EF4-FFF2-40B4-BE49-F238E27FC236}">
              <a16:creationId xmlns="" xmlns:a16="http://schemas.microsoft.com/office/drawing/2014/main" id="{DABFB7BE-138B-4837-9C00-743A32D8FEEC}"/>
            </a:ext>
          </a:extLst>
        </xdr:cNvPr>
        <xdr:cNvSpPr txBox="1">
          <a:spLocks noChangeArrowheads="1"/>
        </xdr:cNvSpPr>
      </xdr:nvSpPr>
      <xdr:spPr bwMode="auto">
        <a:xfrm>
          <a:off x="3381375" y="2981325"/>
          <a:ext cx="76200" cy="1197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85725</xdr:colOff>
      <xdr:row>15</xdr:row>
      <xdr:rowOff>253558</xdr:rowOff>
    </xdr:to>
    <xdr:sp macro="" textlink="">
      <xdr:nvSpPr>
        <xdr:cNvPr id="546" name="Text Box 11">
          <a:extLst>
            <a:ext uri="{FF2B5EF4-FFF2-40B4-BE49-F238E27FC236}">
              <a16:creationId xmlns="" xmlns:a16="http://schemas.microsoft.com/office/drawing/2014/main" id="{298F890A-416E-4C75-8E3D-1907F0BCBC9D}"/>
            </a:ext>
          </a:extLst>
        </xdr:cNvPr>
        <xdr:cNvSpPr txBox="1">
          <a:spLocks noChangeArrowheads="1"/>
        </xdr:cNvSpPr>
      </xdr:nvSpPr>
      <xdr:spPr bwMode="auto">
        <a:xfrm>
          <a:off x="3381375" y="2981325"/>
          <a:ext cx="76200" cy="1197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85725</xdr:colOff>
      <xdr:row>15</xdr:row>
      <xdr:rowOff>253558</xdr:rowOff>
    </xdr:to>
    <xdr:sp macro="" textlink="">
      <xdr:nvSpPr>
        <xdr:cNvPr id="547" name="Text Box 12">
          <a:extLst>
            <a:ext uri="{FF2B5EF4-FFF2-40B4-BE49-F238E27FC236}">
              <a16:creationId xmlns="" xmlns:a16="http://schemas.microsoft.com/office/drawing/2014/main" id="{D5269C36-4E46-4F21-93BB-80853BD64329}"/>
            </a:ext>
          </a:extLst>
        </xdr:cNvPr>
        <xdr:cNvSpPr txBox="1">
          <a:spLocks noChangeArrowheads="1"/>
        </xdr:cNvSpPr>
      </xdr:nvSpPr>
      <xdr:spPr bwMode="auto">
        <a:xfrm>
          <a:off x="3381375" y="2981325"/>
          <a:ext cx="76200" cy="1197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548" name="Text Box 10">
          <a:extLst>
            <a:ext uri="{FF2B5EF4-FFF2-40B4-BE49-F238E27FC236}">
              <a16:creationId xmlns="" xmlns:a16="http://schemas.microsoft.com/office/drawing/2014/main" id="{C338B5AC-0B4A-413E-8C6D-F7CB42FD8876}"/>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549" name="Text Box 11">
          <a:extLst>
            <a:ext uri="{FF2B5EF4-FFF2-40B4-BE49-F238E27FC236}">
              <a16:creationId xmlns="" xmlns:a16="http://schemas.microsoft.com/office/drawing/2014/main" id="{CB8F5543-0001-432E-B4F7-E7FCBDAA17C4}"/>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550" name="Text Box 12">
          <a:extLst>
            <a:ext uri="{FF2B5EF4-FFF2-40B4-BE49-F238E27FC236}">
              <a16:creationId xmlns="" xmlns:a16="http://schemas.microsoft.com/office/drawing/2014/main" id="{4DE0B8F2-124F-4C8C-B5E6-3B1A01E6A13E}"/>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85725</xdr:colOff>
      <xdr:row>15</xdr:row>
      <xdr:rowOff>253558</xdr:rowOff>
    </xdr:to>
    <xdr:sp macro="" textlink="">
      <xdr:nvSpPr>
        <xdr:cNvPr id="551" name="Text Box 10">
          <a:extLst>
            <a:ext uri="{FF2B5EF4-FFF2-40B4-BE49-F238E27FC236}">
              <a16:creationId xmlns="" xmlns:a16="http://schemas.microsoft.com/office/drawing/2014/main" id="{DEF3A0AF-CE62-44C7-ACC9-0C898621650A}"/>
            </a:ext>
          </a:extLst>
        </xdr:cNvPr>
        <xdr:cNvSpPr txBox="1">
          <a:spLocks noChangeArrowheads="1"/>
        </xdr:cNvSpPr>
      </xdr:nvSpPr>
      <xdr:spPr bwMode="auto">
        <a:xfrm>
          <a:off x="3381375" y="2981325"/>
          <a:ext cx="76200" cy="1197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85725</xdr:colOff>
      <xdr:row>15</xdr:row>
      <xdr:rowOff>253558</xdr:rowOff>
    </xdr:to>
    <xdr:sp macro="" textlink="">
      <xdr:nvSpPr>
        <xdr:cNvPr id="552" name="Text Box 11">
          <a:extLst>
            <a:ext uri="{FF2B5EF4-FFF2-40B4-BE49-F238E27FC236}">
              <a16:creationId xmlns="" xmlns:a16="http://schemas.microsoft.com/office/drawing/2014/main" id="{9936FB13-70F4-48D9-9304-B58D3C696848}"/>
            </a:ext>
          </a:extLst>
        </xdr:cNvPr>
        <xdr:cNvSpPr txBox="1">
          <a:spLocks noChangeArrowheads="1"/>
        </xdr:cNvSpPr>
      </xdr:nvSpPr>
      <xdr:spPr bwMode="auto">
        <a:xfrm>
          <a:off x="3381375" y="2981325"/>
          <a:ext cx="76200" cy="1197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85725</xdr:colOff>
      <xdr:row>15</xdr:row>
      <xdr:rowOff>253558</xdr:rowOff>
    </xdr:to>
    <xdr:sp macro="" textlink="">
      <xdr:nvSpPr>
        <xdr:cNvPr id="553" name="Text Box 12">
          <a:extLst>
            <a:ext uri="{FF2B5EF4-FFF2-40B4-BE49-F238E27FC236}">
              <a16:creationId xmlns="" xmlns:a16="http://schemas.microsoft.com/office/drawing/2014/main" id="{E8F51AF7-EEC3-4A54-9EA6-BFC383050C0E}"/>
            </a:ext>
          </a:extLst>
        </xdr:cNvPr>
        <xdr:cNvSpPr txBox="1">
          <a:spLocks noChangeArrowheads="1"/>
        </xdr:cNvSpPr>
      </xdr:nvSpPr>
      <xdr:spPr bwMode="auto">
        <a:xfrm>
          <a:off x="3381375" y="2981325"/>
          <a:ext cx="76200" cy="1197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554" name="Text Box 10">
          <a:extLst>
            <a:ext uri="{FF2B5EF4-FFF2-40B4-BE49-F238E27FC236}">
              <a16:creationId xmlns="" xmlns:a16="http://schemas.microsoft.com/office/drawing/2014/main" id="{591149A8-BBDA-4BFE-99D0-8591EE2E412B}"/>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555" name="Text Box 11">
          <a:extLst>
            <a:ext uri="{FF2B5EF4-FFF2-40B4-BE49-F238E27FC236}">
              <a16:creationId xmlns="" xmlns:a16="http://schemas.microsoft.com/office/drawing/2014/main" id="{5590C5DE-2352-41E6-BD21-8453361B7B48}"/>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556" name="Text Box 12">
          <a:extLst>
            <a:ext uri="{FF2B5EF4-FFF2-40B4-BE49-F238E27FC236}">
              <a16:creationId xmlns="" xmlns:a16="http://schemas.microsoft.com/office/drawing/2014/main" id="{9763EE74-7E27-49D3-B01C-E67D8228D858}"/>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557" name="Text Box 10">
          <a:extLst>
            <a:ext uri="{FF2B5EF4-FFF2-40B4-BE49-F238E27FC236}">
              <a16:creationId xmlns="" xmlns:a16="http://schemas.microsoft.com/office/drawing/2014/main" id="{1EE7114D-E946-49F1-A862-284EF5BAE81B}"/>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558" name="Text Box 11">
          <a:extLst>
            <a:ext uri="{FF2B5EF4-FFF2-40B4-BE49-F238E27FC236}">
              <a16:creationId xmlns="" xmlns:a16="http://schemas.microsoft.com/office/drawing/2014/main" id="{98DC3C68-A769-4B24-AE84-8453E0FE8DB4}"/>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559" name="Text Box 12">
          <a:extLst>
            <a:ext uri="{FF2B5EF4-FFF2-40B4-BE49-F238E27FC236}">
              <a16:creationId xmlns="" xmlns:a16="http://schemas.microsoft.com/office/drawing/2014/main" id="{617000DF-C4B7-4BF2-B2F0-2316AEBC153B}"/>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560" name="Text Box 10">
          <a:extLst>
            <a:ext uri="{FF2B5EF4-FFF2-40B4-BE49-F238E27FC236}">
              <a16:creationId xmlns="" xmlns:a16="http://schemas.microsoft.com/office/drawing/2014/main" id="{E5B1333A-D640-4A57-8474-AF5256FC2E8E}"/>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561" name="Text Box 11">
          <a:extLst>
            <a:ext uri="{FF2B5EF4-FFF2-40B4-BE49-F238E27FC236}">
              <a16:creationId xmlns="" xmlns:a16="http://schemas.microsoft.com/office/drawing/2014/main" id="{DFF837C1-46BF-4542-B3FC-3B626328C968}"/>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562" name="Text Box 12">
          <a:extLst>
            <a:ext uri="{FF2B5EF4-FFF2-40B4-BE49-F238E27FC236}">
              <a16:creationId xmlns="" xmlns:a16="http://schemas.microsoft.com/office/drawing/2014/main" id="{DE284E6B-8A3A-41CA-AA9A-F794E0A2A868}"/>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563" name="Text Box 10">
          <a:extLst>
            <a:ext uri="{FF2B5EF4-FFF2-40B4-BE49-F238E27FC236}">
              <a16:creationId xmlns="" xmlns:a16="http://schemas.microsoft.com/office/drawing/2014/main" id="{93E75808-7703-4123-859E-EA5460D84BCF}"/>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564" name="Text Box 11">
          <a:extLst>
            <a:ext uri="{FF2B5EF4-FFF2-40B4-BE49-F238E27FC236}">
              <a16:creationId xmlns="" xmlns:a16="http://schemas.microsoft.com/office/drawing/2014/main" id="{880A311A-A225-4D22-B0DC-C5FD5A78A37D}"/>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565" name="Text Box 12">
          <a:extLst>
            <a:ext uri="{FF2B5EF4-FFF2-40B4-BE49-F238E27FC236}">
              <a16:creationId xmlns="" xmlns:a16="http://schemas.microsoft.com/office/drawing/2014/main" id="{F91771DC-6E1B-4722-8C52-F82F42056F0E}"/>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566" name="Text Box 10">
          <a:extLst>
            <a:ext uri="{FF2B5EF4-FFF2-40B4-BE49-F238E27FC236}">
              <a16:creationId xmlns="" xmlns:a16="http://schemas.microsoft.com/office/drawing/2014/main" id="{BBB0FC97-CE41-45AF-B759-CC363B2B36B4}"/>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567" name="Text Box 11">
          <a:extLst>
            <a:ext uri="{FF2B5EF4-FFF2-40B4-BE49-F238E27FC236}">
              <a16:creationId xmlns="" xmlns:a16="http://schemas.microsoft.com/office/drawing/2014/main" id="{FC225F22-00A2-4501-9445-1CDE8A795F63}"/>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568" name="Text Box 12">
          <a:extLst>
            <a:ext uri="{FF2B5EF4-FFF2-40B4-BE49-F238E27FC236}">
              <a16:creationId xmlns="" xmlns:a16="http://schemas.microsoft.com/office/drawing/2014/main" id="{480D886C-FEF0-462C-A778-9F593EFDDE51}"/>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569" name="Text Box 10">
          <a:extLst>
            <a:ext uri="{FF2B5EF4-FFF2-40B4-BE49-F238E27FC236}">
              <a16:creationId xmlns="" xmlns:a16="http://schemas.microsoft.com/office/drawing/2014/main" id="{91229991-58FC-457A-8A23-2D3F1571F75A}"/>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570" name="Text Box 11">
          <a:extLst>
            <a:ext uri="{FF2B5EF4-FFF2-40B4-BE49-F238E27FC236}">
              <a16:creationId xmlns="" xmlns:a16="http://schemas.microsoft.com/office/drawing/2014/main" id="{D6528DD3-0224-4F1D-B3BD-8D62173AE6DA}"/>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571" name="Text Box 12">
          <a:extLst>
            <a:ext uri="{FF2B5EF4-FFF2-40B4-BE49-F238E27FC236}">
              <a16:creationId xmlns="" xmlns:a16="http://schemas.microsoft.com/office/drawing/2014/main" id="{25C8ABC1-EE1B-4129-8269-20B2048DEC2D}"/>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572" name="Text Box 10">
          <a:extLst>
            <a:ext uri="{FF2B5EF4-FFF2-40B4-BE49-F238E27FC236}">
              <a16:creationId xmlns="" xmlns:a16="http://schemas.microsoft.com/office/drawing/2014/main" id="{F9C662BA-F6A5-4797-A548-C2F166BD3EC9}"/>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573" name="Text Box 11">
          <a:extLst>
            <a:ext uri="{FF2B5EF4-FFF2-40B4-BE49-F238E27FC236}">
              <a16:creationId xmlns="" xmlns:a16="http://schemas.microsoft.com/office/drawing/2014/main" id="{9097CE06-F53C-4ABB-849F-523310B3FC0A}"/>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574" name="Text Box 12">
          <a:extLst>
            <a:ext uri="{FF2B5EF4-FFF2-40B4-BE49-F238E27FC236}">
              <a16:creationId xmlns="" xmlns:a16="http://schemas.microsoft.com/office/drawing/2014/main" id="{F397D27C-451C-4C00-BA90-382C2BE98725}"/>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575" name="Text Box 10">
          <a:extLst>
            <a:ext uri="{FF2B5EF4-FFF2-40B4-BE49-F238E27FC236}">
              <a16:creationId xmlns="" xmlns:a16="http://schemas.microsoft.com/office/drawing/2014/main" id="{E542F092-B85D-4D3F-BC7A-2C5D911BE05B}"/>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576" name="Text Box 11">
          <a:extLst>
            <a:ext uri="{FF2B5EF4-FFF2-40B4-BE49-F238E27FC236}">
              <a16:creationId xmlns="" xmlns:a16="http://schemas.microsoft.com/office/drawing/2014/main" id="{91AB81BC-31AF-434B-B467-0099132C4B3D}"/>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577" name="Text Box 12">
          <a:extLst>
            <a:ext uri="{FF2B5EF4-FFF2-40B4-BE49-F238E27FC236}">
              <a16:creationId xmlns="" xmlns:a16="http://schemas.microsoft.com/office/drawing/2014/main" id="{07D92AE3-17CC-49DF-8880-E3B5DD346034}"/>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578" name="Text Box 10">
          <a:extLst>
            <a:ext uri="{FF2B5EF4-FFF2-40B4-BE49-F238E27FC236}">
              <a16:creationId xmlns="" xmlns:a16="http://schemas.microsoft.com/office/drawing/2014/main" id="{6D0C99B7-A1C0-4DA7-AD02-B9BA35B8ECDF}"/>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579" name="Text Box 11">
          <a:extLst>
            <a:ext uri="{FF2B5EF4-FFF2-40B4-BE49-F238E27FC236}">
              <a16:creationId xmlns="" xmlns:a16="http://schemas.microsoft.com/office/drawing/2014/main" id="{AF5758DD-C7B4-4288-BA6A-326BE9F6CE4A}"/>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580" name="Text Box 12">
          <a:extLst>
            <a:ext uri="{FF2B5EF4-FFF2-40B4-BE49-F238E27FC236}">
              <a16:creationId xmlns="" xmlns:a16="http://schemas.microsoft.com/office/drawing/2014/main" id="{7516124B-7B1F-43D7-AFB5-7305A7586A81}"/>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581" name="Text Box 10">
          <a:extLst>
            <a:ext uri="{FF2B5EF4-FFF2-40B4-BE49-F238E27FC236}">
              <a16:creationId xmlns="" xmlns:a16="http://schemas.microsoft.com/office/drawing/2014/main" id="{C03F34CB-3E7B-4A74-847B-8F25F70684F5}"/>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582" name="Text Box 11">
          <a:extLst>
            <a:ext uri="{FF2B5EF4-FFF2-40B4-BE49-F238E27FC236}">
              <a16:creationId xmlns="" xmlns:a16="http://schemas.microsoft.com/office/drawing/2014/main" id="{3D601B86-A313-4E6B-8365-8184A6AC80AF}"/>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583" name="Text Box 12">
          <a:extLst>
            <a:ext uri="{FF2B5EF4-FFF2-40B4-BE49-F238E27FC236}">
              <a16:creationId xmlns="" xmlns:a16="http://schemas.microsoft.com/office/drawing/2014/main" id="{970F6EA9-6636-46C3-86FE-C3AF1907E61D}"/>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584" name="Text Box 10">
          <a:extLst>
            <a:ext uri="{FF2B5EF4-FFF2-40B4-BE49-F238E27FC236}">
              <a16:creationId xmlns="" xmlns:a16="http://schemas.microsoft.com/office/drawing/2014/main" id="{9FA29933-F127-45E6-8550-BF61F4EBE569}"/>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585" name="Text Box 11">
          <a:extLst>
            <a:ext uri="{FF2B5EF4-FFF2-40B4-BE49-F238E27FC236}">
              <a16:creationId xmlns="" xmlns:a16="http://schemas.microsoft.com/office/drawing/2014/main" id="{C1721B71-9F55-4BC0-8DBA-E3FF7B73B768}"/>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586" name="Text Box 12">
          <a:extLst>
            <a:ext uri="{FF2B5EF4-FFF2-40B4-BE49-F238E27FC236}">
              <a16:creationId xmlns="" xmlns:a16="http://schemas.microsoft.com/office/drawing/2014/main" id="{613DE300-F938-4AC4-9F9A-4BA50F91212B}"/>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587" name="Text Box 10">
          <a:extLst>
            <a:ext uri="{FF2B5EF4-FFF2-40B4-BE49-F238E27FC236}">
              <a16:creationId xmlns="" xmlns:a16="http://schemas.microsoft.com/office/drawing/2014/main" id="{8150F20D-F125-4ED9-AFBD-D87AF0766929}"/>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588" name="Text Box 11">
          <a:extLst>
            <a:ext uri="{FF2B5EF4-FFF2-40B4-BE49-F238E27FC236}">
              <a16:creationId xmlns="" xmlns:a16="http://schemas.microsoft.com/office/drawing/2014/main" id="{3D941D53-E796-4CD8-B840-290AD3C1696E}"/>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589" name="Text Box 12">
          <a:extLst>
            <a:ext uri="{FF2B5EF4-FFF2-40B4-BE49-F238E27FC236}">
              <a16:creationId xmlns="" xmlns:a16="http://schemas.microsoft.com/office/drawing/2014/main" id="{B90CA920-5CB5-4D9D-B398-D51EB6DE4D02}"/>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590" name="Text Box 10">
          <a:extLst>
            <a:ext uri="{FF2B5EF4-FFF2-40B4-BE49-F238E27FC236}">
              <a16:creationId xmlns="" xmlns:a16="http://schemas.microsoft.com/office/drawing/2014/main" id="{86ADF93B-F67D-4AA9-BD51-8E6587B7ABF1}"/>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591" name="Text Box 11">
          <a:extLst>
            <a:ext uri="{FF2B5EF4-FFF2-40B4-BE49-F238E27FC236}">
              <a16:creationId xmlns="" xmlns:a16="http://schemas.microsoft.com/office/drawing/2014/main" id="{774E0189-2325-49A3-BAB2-C42DACFEBE11}"/>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592" name="Text Box 12">
          <a:extLst>
            <a:ext uri="{FF2B5EF4-FFF2-40B4-BE49-F238E27FC236}">
              <a16:creationId xmlns="" xmlns:a16="http://schemas.microsoft.com/office/drawing/2014/main" id="{8FDE2CD8-E661-48FE-BFB8-BE4ECC3A135C}"/>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593" name="Text Box 10">
          <a:extLst>
            <a:ext uri="{FF2B5EF4-FFF2-40B4-BE49-F238E27FC236}">
              <a16:creationId xmlns="" xmlns:a16="http://schemas.microsoft.com/office/drawing/2014/main" id="{F761DD48-D682-4FC7-8E80-2003E785B789}"/>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594" name="Text Box 11">
          <a:extLst>
            <a:ext uri="{FF2B5EF4-FFF2-40B4-BE49-F238E27FC236}">
              <a16:creationId xmlns="" xmlns:a16="http://schemas.microsoft.com/office/drawing/2014/main" id="{5F095635-0BC5-47E5-A4A6-07AA7BF2C57C}"/>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595" name="Text Box 12">
          <a:extLst>
            <a:ext uri="{FF2B5EF4-FFF2-40B4-BE49-F238E27FC236}">
              <a16:creationId xmlns="" xmlns:a16="http://schemas.microsoft.com/office/drawing/2014/main" id="{99694E27-A2D4-4D3E-B2B8-6703BF344DEA}"/>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596" name="Text Box 10">
          <a:extLst>
            <a:ext uri="{FF2B5EF4-FFF2-40B4-BE49-F238E27FC236}">
              <a16:creationId xmlns="" xmlns:a16="http://schemas.microsoft.com/office/drawing/2014/main" id="{A03D6851-2524-4887-9948-F7637D7040F7}"/>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597" name="Text Box 11">
          <a:extLst>
            <a:ext uri="{FF2B5EF4-FFF2-40B4-BE49-F238E27FC236}">
              <a16:creationId xmlns="" xmlns:a16="http://schemas.microsoft.com/office/drawing/2014/main" id="{149739A9-F49C-4691-82D8-4CD365EF71ED}"/>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598" name="Text Box 12">
          <a:extLst>
            <a:ext uri="{FF2B5EF4-FFF2-40B4-BE49-F238E27FC236}">
              <a16:creationId xmlns="" xmlns:a16="http://schemas.microsoft.com/office/drawing/2014/main" id="{15F2C2B1-9A17-45CB-921C-618636363944}"/>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599" name="Text Box 10">
          <a:extLst>
            <a:ext uri="{FF2B5EF4-FFF2-40B4-BE49-F238E27FC236}">
              <a16:creationId xmlns="" xmlns:a16="http://schemas.microsoft.com/office/drawing/2014/main" id="{0419110A-F5C9-486B-BC0C-B8C4458D1960}"/>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600" name="Text Box 11">
          <a:extLst>
            <a:ext uri="{FF2B5EF4-FFF2-40B4-BE49-F238E27FC236}">
              <a16:creationId xmlns="" xmlns:a16="http://schemas.microsoft.com/office/drawing/2014/main" id="{B3B310E0-745A-486C-BDCB-8A85C16C8859}"/>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601" name="Text Box 12">
          <a:extLst>
            <a:ext uri="{FF2B5EF4-FFF2-40B4-BE49-F238E27FC236}">
              <a16:creationId xmlns="" xmlns:a16="http://schemas.microsoft.com/office/drawing/2014/main" id="{EA64B4E0-3B81-47CB-99D6-24B956435223}"/>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602" name="Text Box 10">
          <a:extLst>
            <a:ext uri="{FF2B5EF4-FFF2-40B4-BE49-F238E27FC236}">
              <a16:creationId xmlns="" xmlns:a16="http://schemas.microsoft.com/office/drawing/2014/main" id="{64258411-BF5F-44B2-A4FD-AB79EC36669B}"/>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603" name="Text Box 11">
          <a:extLst>
            <a:ext uri="{FF2B5EF4-FFF2-40B4-BE49-F238E27FC236}">
              <a16:creationId xmlns="" xmlns:a16="http://schemas.microsoft.com/office/drawing/2014/main" id="{0D8F8805-FF82-4819-BD50-408399A8B55B}"/>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604" name="Text Box 12">
          <a:extLst>
            <a:ext uri="{FF2B5EF4-FFF2-40B4-BE49-F238E27FC236}">
              <a16:creationId xmlns="" xmlns:a16="http://schemas.microsoft.com/office/drawing/2014/main" id="{29E0941E-FE47-4107-BB85-60DB3EF0F37A}"/>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605" name="Text Box 10">
          <a:extLst>
            <a:ext uri="{FF2B5EF4-FFF2-40B4-BE49-F238E27FC236}">
              <a16:creationId xmlns="" xmlns:a16="http://schemas.microsoft.com/office/drawing/2014/main" id="{A6B68F3D-2E2A-4E9C-9F2F-633EEE98F5DC}"/>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606" name="Text Box 11">
          <a:extLst>
            <a:ext uri="{FF2B5EF4-FFF2-40B4-BE49-F238E27FC236}">
              <a16:creationId xmlns="" xmlns:a16="http://schemas.microsoft.com/office/drawing/2014/main" id="{358E5ADA-5B6B-4D0C-9CBA-B0A145844F51}"/>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607" name="Text Box 12">
          <a:extLst>
            <a:ext uri="{FF2B5EF4-FFF2-40B4-BE49-F238E27FC236}">
              <a16:creationId xmlns="" xmlns:a16="http://schemas.microsoft.com/office/drawing/2014/main" id="{0F08818F-822B-412B-9E03-D55F388858FE}"/>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608" name="Text Box 10">
          <a:extLst>
            <a:ext uri="{FF2B5EF4-FFF2-40B4-BE49-F238E27FC236}">
              <a16:creationId xmlns="" xmlns:a16="http://schemas.microsoft.com/office/drawing/2014/main" id="{7D73840C-6728-4031-A9C4-6B9C24EFA14F}"/>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609" name="Text Box 11">
          <a:extLst>
            <a:ext uri="{FF2B5EF4-FFF2-40B4-BE49-F238E27FC236}">
              <a16:creationId xmlns="" xmlns:a16="http://schemas.microsoft.com/office/drawing/2014/main" id="{7274CDE1-50AC-46F0-BCF2-90D3A2E6CA41}"/>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610" name="Text Box 12">
          <a:extLst>
            <a:ext uri="{FF2B5EF4-FFF2-40B4-BE49-F238E27FC236}">
              <a16:creationId xmlns="" xmlns:a16="http://schemas.microsoft.com/office/drawing/2014/main" id="{6CFAA473-DB67-4CED-AB71-FAD7B5F1A380}"/>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611" name="Text Box 10">
          <a:extLst>
            <a:ext uri="{FF2B5EF4-FFF2-40B4-BE49-F238E27FC236}">
              <a16:creationId xmlns="" xmlns:a16="http://schemas.microsoft.com/office/drawing/2014/main" id="{B367FBAE-8BDA-4372-8D3E-229A8ADA60D7}"/>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612" name="Text Box 11">
          <a:extLst>
            <a:ext uri="{FF2B5EF4-FFF2-40B4-BE49-F238E27FC236}">
              <a16:creationId xmlns="" xmlns:a16="http://schemas.microsoft.com/office/drawing/2014/main" id="{4A5126EB-FA24-4174-97E1-8A6D4F9457E3}"/>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613" name="Text Box 12">
          <a:extLst>
            <a:ext uri="{FF2B5EF4-FFF2-40B4-BE49-F238E27FC236}">
              <a16:creationId xmlns="" xmlns:a16="http://schemas.microsoft.com/office/drawing/2014/main" id="{6F31F10E-1A96-4852-B0FA-D0BC25A8A72A}"/>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614" name="Text Box 10">
          <a:extLst>
            <a:ext uri="{FF2B5EF4-FFF2-40B4-BE49-F238E27FC236}">
              <a16:creationId xmlns="" xmlns:a16="http://schemas.microsoft.com/office/drawing/2014/main" id="{6B1D8A8D-3F2B-4360-8028-88F934BA9746}"/>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615" name="Text Box 11">
          <a:extLst>
            <a:ext uri="{FF2B5EF4-FFF2-40B4-BE49-F238E27FC236}">
              <a16:creationId xmlns="" xmlns:a16="http://schemas.microsoft.com/office/drawing/2014/main" id="{A9299077-49EE-4309-959B-6BAE899E2772}"/>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616" name="Text Box 12">
          <a:extLst>
            <a:ext uri="{FF2B5EF4-FFF2-40B4-BE49-F238E27FC236}">
              <a16:creationId xmlns="" xmlns:a16="http://schemas.microsoft.com/office/drawing/2014/main" id="{179E8D1A-7485-4CA1-B4B8-82D7F085B99C}"/>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617" name="Text Box 10">
          <a:extLst>
            <a:ext uri="{FF2B5EF4-FFF2-40B4-BE49-F238E27FC236}">
              <a16:creationId xmlns="" xmlns:a16="http://schemas.microsoft.com/office/drawing/2014/main" id="{72C53B25-9343-4921-BBBD-2930E5FACAD9}"/>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618" name="Text Box 11">
          <a:extLst>
            <a:ext uri="{FF2B5EF4-FFF2-40B4-BE49-F238E27FC236}">
              <a16:creationId xmlns="" xmlns:a16="http://schemas.microsoft.com/office/drawing/2014/main" id="{6A5F48E1-038E-4607-A4FE-24288A3BC2E1}"/>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619" name="Text Box 12">
          <a:extLst>
            <a:ext uri="{FF2B5EF4-FFF2-40B4-BE49-F238E27FC236}">
              <a16:creationId xmlns="" xmlns:a16="http://schemas.microsoft.com/office/drawing/2014/main" id="{BC43AA23-4F94-41E0-AEA9-B650EFEAA232}"/>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620" name="Text Box 10">
          <a:extLst>
            <a:ext uri="{FF2B5EF4-FFF2-40B4-BE49-F238E27FC236}">
              <a16:creationId xmlns="" xmlns:a16="http://schemas.microsoft.com/office/drawing/2014/main" id="{8DCAE6A1-E2F5-4449-90F0-C1E0F02E42E2}"/>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621" name="Text Box 11">
          <a:extLst>
            <a:ext uri="{FF2B5EF4-FFF2-40B4-BE49-F238E27FC236}">
              <a16:creationId xmlns="" xmlns:a16="http://schemas.microsoft.com/office/drawing/2014/main" id="{F245E9F8-7ED7-47C3-9AB0-FB7918E7BB8F}"/>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622" name="Text Box 12">
          <a:extLst>
            <a:ext uri="{FF2B5EF4-FFF2-40B4-BE49-F238E27FC236}">
              <a16:creationId xmlns="" xmlns:a16="http://schemas.microsoft.com/office/drawing/2014/main" id="{231157C3-DFE5-43EF-8E4F-0E9D4D6289BC}"/>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623" name="Text Box 10">
          <a:extLst>
            <a:ext uri="{FF2B5EF4-FFF2-40B4-BE49-F238E27FC236}">
              <a16:creationId xmlns="" xmlns:a16="http://schemas.microsoft.com/office/drawing/2014/main" id="{378BF53B-C072-4788-A937-21D0064B778B}"/>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624" name="Text Box 11">
          <a:extLst>
            <a:ext uri="{FF2B5EF4-FFF2-40B4-BE49-F238E27FC236}">
              <a16:creationId xmlns="" xmlns:a16="http://schemas.microsoft.com/office/drawing/2014/main" id="{0DFF362E-A4D8-4FD7-9245-89F5E38BC31E}"/>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105842</xdr:rowOff>
    </xdr:to>
    <xdr:sp macro="" textlink="">
      <xdr:nvSpPr>
        <xdr:cNvPr id="625" name="Text Box 12">
          <a:extLst>
            <a:ext uri="{FF2B5EF4-FFF2-40B4-BE49-F238E27FC236}">
              <a16:creationId xmlns="" xmlns:a16="http://schemas.microsoft.com/office/drawing/2014/main" id="{A8AD3136-C8A0-428E-82B9-A15E0419D883}"/>
            </a:ext>
          </a:extLst>
        </xdr:cNvPr>
        <xdr:cNvSpPr txBox="1">
          <a:spLocks noChangeArrowheads="1"/>
        </xdr:cNvSpPr>
      </xdr:nvSpPr>
      <xdr:spPr bwMode="auto">
        <a:xfrm>
          <a:off x="3381375" y="2981325"/>
          <a:ext cx="95250" cy="1431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626" name="Text Box 10">
          <a:extLst>
            <a:ext uri="{FF2B5EF4-FFF2-40B4-BE49-F238E27FC236}">
              <a16:creationId xmlns="" xmlns:a16="http://schemas.microsoft.com/office/drawing/2014/main" id="{EC045EB8-6341-4A33-A40C-1A3501D6C4AB}"/>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627" name="Text Box 11">
          <a:extLst>
            <a:ext uri="{FF2B5EF4-FFF2-40B4-BE49-F238E27FC236}">
              <a16:creationId xmlns="" xmlns:a16="http://schemas.microsoft.com/office/drawing/2014/main" id="{9973B8B7-5241-4120-BCD8-7B500FBD2C89}"/>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628" name="Text Box 12">
          <a:extLst>
            <a:ext uri="{FF2B5EF4-FFF2-40B4-BE49-F238E27FC236}">
              <a16:creationId xmlns="" xmlns:a16="http://schemas.microsoft.com/office/drawing/2014/main" id="{8BE123BD-7A3E-43A0-8735-04A4F69CB19C}"/>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629" name="Text Box 10">
          <a:extLst>
            <a:ext uri="{FF2B5EF4-FFF2-40B4-BE49-F238E27FC236}">
              <a16:creationId xmlns="" xmlns:a16="http://schemas.microsoft.com/office/drawing/2014/main" id="{D95A8034-DE6F-4BF0-9B11-AFBBD013D6EC}"/>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630" name="Text Box 11">
          <a:extLst>
            <a:ext uri="{FF2B5EF4-FFF2-40B4-BE49-F238E27FC236}">
              <a16:creationId xmlns="" xmlns:a16="http://schemas.microsoft.com/office/drawing/2014/main" id="{990AC418-4A31-4F77-8809-804D6EAD8F52}"/>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631" name="Text Box 12">
          <a:extLst>
            <a:ext uri="{FF2B5EF4-FFF2-40B4-BE49-F238E27FC236}">
              <a16:creationId xmlns="" xmlns:a16="http://schemas.microsoft.com/office/drawing/2014/main" id="{8E4E726E-8170-43EE-8649-D1BF126B7AA1}"/>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632" name="Text Box 10">
          <a:extLst>
            <a:ext uri="{FF2B5EF4-FFF2-40B4-BE49-F238E27FC236}">
              <a16:creationId xmlns="" xmlns:a16="http://schemas.microsoft.com/office/drawing/2014/main" id="{3BC787EE-49C0-4C73-8139-60210130C2E4}"/>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633" name="Text Box 11">
          <a:extLst>
            <a:ext uri="{FF2B5EF4-FFF2-40B4-BE49-F238E27FC236}">
              <a16:creationId xmlns="" xmlns:a16="http://schemas.microsoft.com/office/drawing/2014/main" id="{698FF95A-8786-43EB-BDD2-3E88EE78748C}"/>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634" name="Text Box 12">
          <a:extLst>
            <a:ext uri="{FF2B5EF4-FFF2-40B4-BE49-F238E27FC236}">
              <a16:creationId xmlns="" xmlns:a16="http://schemas.microsoft.com/office/drawing/2014/main" id="{856B3880-CE22-4C51-88E9-3670549FDA3A}"/>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635" name="Text Box 10">
          <a:extLst>
            <a:ext uri="{FF2B5EF4-FFF2-40B4-BE49-F238E27FC236}">
              <a16:creationId xmlns="" xmlns:a16="http://schemas.microsoft.com/office/drawing/2014/main" id="{F972E28D-5FC9-4B93-B895-3418640E15C3}"/>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636" name="Text Box 11">
          <a:extLst>
            <a:ext uri="{FF2B5EF4-FFF2-40B4-BE49-F238E27FC236}">
              <a16:creationId xmlns="" xmlns:a16="http://schemas.microsoft.com/office/drawing/2014/main" id="{C8029E0E-731D-4EDC-9193-76092A720163}"/>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637" name="Text Box 12">
          <a:extLst>
            <a:ext uri="{FF2B5EF4-FFF2-40B4-BE49-F238E27FC236}">
              <a16:creationId xmlns="" xmlns:a16="http://schemas.microsoft.com/office/drawing/2014/main" id="{C00EF93C-EED8-4641-BDC6-96452C5181F2}"/>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638" name="Text Box 10">
          <a:extLst>
            <a:ext uri="{FF2B5EF4-FFF2-40B4-BE49-F238E27FC236}">
              <a16:creationId xmlns="" xmlns:a16="http://schemas.microsoft.com/office/drawing/2014/main" id="{A9E0D02B-4D62-44A5-989C-B10E0525622E}"/>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639" name="Text Box 11">
          <a:extLst>
            <a:ext uri="{FF2B5EF4-FFF2-40B4-BE49-F238E27FC236}">
              <a16:creationId xmlns="" xmlns:a16="http://schemas.microsoft.com/office/drawing/2014/main" id="{04974922-F378-4B72-9F4E-D2AE51B947AE}"/>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640" name="Text Box 12">
          <a:extLst>
            <a:ext uri="{FF2B5EF4-FFF2-40B4-BE49-F238E27FC236}">
              <a16:creationId xmlns="" xmlns:a16="http://schemas.microsoft.com/office/drawing/2014/main" id="{DC29AA99-B165-423D-A84F-A5F41894F4F1}"/>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641" name="Text Box 10">
          <a:extLst>
            <a:ext uri="{FF2B5EF4-FFF2-40B4-BE49-F238E27FC236}">
              <a16:creationId xmlns="" xmlns:a16="http://schemas.microsoft.com/office/drawing/2014/main" id="{CEE64439-ADC4-4901-8EC8-4D8C52D626B4}"/>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642" name="Text Box 11">
          <a:extLst>
            <a:ext uri="{FF2B5EF4-FFF2-40B4-BE49-F238E27FC236}">
              <a16:creationId xmlns="" xmlns:a16="http://schemas.microsoft.com/office/drawing/2014/main" id="{F1A4F610-7224-46AB-9BED-E63C5AA7009A}"/>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643" name="Text Box 12">
          <a:extLst>
            <a:ext uri="{FF2B5EF4-FFF2-40B4-BE49-F238E27FC236}">
              <a16:creationId xmlns="" xmlns:a16="http://schemas.microsoft.com/office/drawing/2014/main" id="{12B6AEAD-7A2F-4AFC-AEF7-87D77C0122C1}"/>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644" name="Text Box 10">
          <a:extLst>
            <a:ext uri="{FF2B5EF4-FFF2-40B4-BE49-F238E27FC236}">
              <a16:creationId xmlns="" xmlns:a16="http://schemas.microsoft.com/office/drawing/2014/main" id="{03E0DF26-0BB9-4700-B007-19EC6E3A73A9}"/>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645" name="Text Box 11">
          <a:extLst>
            <a:ext uri="{FF2B5EF4-FFF2-40B4-BE49-F238E27FC236}">
              <a16:creationId xmlns="" xmlns:a16="http://schemas.microsoft.com/office/drawing/2014/main" id="{839CEBE2-87F2-42EA-823B-A01A1DD0CF13}"/>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646" name="Text Box 12">
          <a:extLst>
            <a:ext uri="{FF2B5EF4-FFF2-40B4-BE49-F238E27FC236}">
              <a16:creationId xmlns="" xmlns:a16="http://schemas.microsoft.com/office/drawing/2014/main" id="{872D9B83-B36F-41A2-96E1-F5E3CABA363D}"/>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647" name="Text Box 10">
          <a:extLst>
            <a:ext uri="{FF2B5EF4-FFF2-40B4-BE49-F238E27FC236}">
              <a16:creationId xmlns="" xmlns:a16="http://schemas.microsoft.com/office/drawing/2014/main" id="{03C90559-0260-4C32-90CF-126F8ADED27D}"/>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648" name="Text Box 11">
          <a:extLst>
            <a:ext uri="{FF2B5EF4-FFF2-40B4-BE49-F238E27FC236}">
              <a16:creationId xmlns="" xmlns:a16="http://schemas.microsoft.com/office/drawing/2014/main" id="{D14D8819-F73F-4019-9558-D353A9809D4C}"/>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649" name="Text Box 12">
          <a:extLst>
            <a:ext uri="{FF2B5EF4-FFF2-40B4-BE49-F238E27FC236}">
              <a16:creationId xmlns="" xmlns:a16="http://schemas.microsoft.com/office/drawing/2014/main" id="{A20AAD60-FAB9-4FF8-B259-AA9CB442BA4A}"/>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650" name="Text Box 10">
          <a:extLst>
            <a:ext uri="{FF2B5EF4-FFF2-40B4-BE49-F238E27FC236}">
              <a16:creationId xmlns="" xmlns:a16="http://schemas.microsoft.com/office/drawing/2014/main" id="{29AFCE38-61E6-458E-A50A-35532C385AF6}"/>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651" name="Text Box 11">
          <a:extLst>
            <a:ext uri="{FF2B5EF4-FFF2-40B4-BE49-F238E27FC236}">
              <a16:creationId xmlns="" xmlns:a16="http://schemas.microsoft.com/office/drawing/2014/main" id="{4B24298D-C848-4C18-AE9C-A9D638407F05}"/>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652" name="Text Box 12">
          <a:extLst>
            <a:ext uri="{FF2B5EF4-FFF2-40B4-BE49-F238E27FC236}">
              <a16:creationId xmlns="" xmlns:a16="http://schemas.microsoft.com/office/drawing/2014/main" id="{18368E5D-D8F7-4DCC-9A76-AF9C089F9F0D}"/>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653" name="Text Box 10">
          <a:extLst>
            <a:ext uri="{FF2B5EF4-FFF2-40B4-BE49-F238E27FC236}">
              <a16:creationId xmlns="" xmlns:a16="http://schemas.microsoft.com/office/drawing/2014/main" id="{24905209-002A-4F83-812E-A7386A97FABF}"/>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654" name="Text Box 11">
          <a:extLst>
            <a:ext uri="{FF2B5EF4-FFF2-40B4-BE49-F238E27FC236}">
              <a16:creationId xmlns="" xmlns:a16="http://schemas.microsoft.com/office/drawing/2014/main" id="{41C8ACF6-E87A-4759-9A5D-D4EEAE26DB44}"/>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655" name="Text Box 12">
          <a:extLst>
            <a:ext uri="{FF2B5EF4-FFF2-40B4-BE49-F238E27FC236}">
              <a16:creationId xmlns="" xmlns:a16="http://schemas.microsoft.com/office/drawing/2014/main" id="{54D53522-9269-4ADF-AB41-F1649F59E493}"/>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656" name="Text Box 10">
          <a:extLst>
            <a:ext uri="{FF2B5EF4-FFF2-40B4-BE49-F238E27FC236}">
              <a16:creationId xmlns="" xmlns:a16="http://schemas.microsoft.com/office/drawing/2014/main" id="{ED293679-4B01-41C7-A53E-5C794F5A37B7}"/>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657" name="Text Box 11">
          <a:extLst>
            <a:ext uri="{FF2B5EF4-FFF2-40B4-BE49-F238E27FC236}">
              <a16:creationId xmlns="" xmlns:a16="http://schemas.microsoft.com/office/drawing/2014/main" id="{34B4C2DC-A030-4FF0-A613-23F28809596A}"/>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658" name="Text Box 12">
          <a:extLst>
            <a:ext uri="{FF2B5EF4-FFF2-40B4-BE49-F238E27FC236}">
              <a16:creationId xmlns="" xmlns:a16="http://schemas.microsoft.com/office/drawing/2014/main" id="{0606B9DF-D8AF-4BBA-AD6E-212560200D60}"/>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659" name="Text Box 10">
          <a:extLst>
            <a:ext uri="{FF2B5EF4-FFF2-40B4-BE49-F238E27FC236}">
              <a16:creationId xmlns="" xmlns:a16="http://schemas.microsoft.com/office/drawing/2014/main" id="{797C1590-3A26-4E3B-8A54-806761307A88}"/>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660" name="Text Box 11">
          <a:extLst>
            <a:ext uri="{FF2B5EF4-FFF2-40B4-BE49-F238E27FC236}">
              <a16:creationId xmlns="" xmlns:a16="http://schemas.microsoft.com/office/drawing/2014/main" id="{9A2F6946-907B-4039-B741-C51F52CBEC43}"/>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661" name="Text Box 12">
          <a:extLst>
            <a:ext uri="{FF2B5EF4-FFF2-40B4-BE49-F238E27FC236}">
              <a16:creationId xmlns="" xmlns:a16="http://schemas.microsoft.com/office/drawing/2014/main" id="{98FEF1FB-A334-4F6D-9D7B-62BB7BE71617}"/>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662" name="Text Box 10">
          <a:extLst>
            <a:ext uri="{FF2B5EF4-FFF2-40B4-BE49-F238E27FC236}">
              <a16:creationId xmlns="" xmlns:a16="http://schemas.microsoft.com/office/drawing/2014/main" id="{FBEFF019-9B76-4715-BFDF-06DC58518A34}"/>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663" name="Text Box 11">
          <a:extLst>
            <a:ext uri="{FF2B5EF4-FFF2-40B4-BE49-F238E27FC236}">
              <a16:creationId xmlns="" xmlns:a16="http://schemas.microsoft.com/office/drawing/2014/main" id="{87DAD1F8-D28A-4279-8D5C-48A936C98CEC}"/>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664" name="Text Box 12">
          <a:extLst>
            <a:ext uri="{FF2B5EF4-FFF2-40B4-BE49-F238E27FC236}">
              <a16:creationId xmlns="" xmlns:a16="http://schemas.microsoft.com/office/drawing/2014/main" id="{58F6E9C0-9586-4413-8EDB-24EF0A1A1314}"/>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665" name="Text Box 10">
          <a:extLst>
            <a:ext uri="{FF2B5EF4-FFF2-40B4-BE49-F238E27FC236}">
              <a16:creationId xmlns="" xmlns:a16="http://schemas.microsoft.com/office/drawing/2014/main" id="{D9999A1D-E6AF-42D3-88AC-CDC6A15EC345}"/>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666" name="Text Box 11">
          <a:extLst>
            <a:ext uri="{FF2B5EF4-FFF2-40B4-BE49-F238E27FC236}">
              <a16:creationId xmlns="" xmlns:a16="http://schemas.microsoft.com/office/drawing/2014/main" id="{4CAC0EC3-BE58-4BAC-8AA0-B5E309C7CCEE}"/>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667" name="Text Box 12">
          <a:extLst>
            <a:ext uri="{FF2B5EF4-FFF2-40B4-BE49-F238E27FC236}">
              <a16:creationId xmlns="" xmlns:a16="http://schemas.microsoft.com/office/drawing/2014/main" id="{36C7D66B-EFF8-43C0-AA9B-B4216EB09CFB}"/>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668" name="Text Box 10">
          <a:extLst>
            <a:ext uri="{FF2B5EF4-FFF2-40B4-BE49-F238E27FC236}">
              <a16:creationId xmlns="" xmlns:a16="http://schemas.microsoft.com/office/drawing/2014/main" id="{88E59D80-1DBA-485A-9664-AC76AAA85E66}"/>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669" name="Text Box 11">
          <a:extLst>
            <a:ext uri="{FF2B5EF4-FFF2-40B4-BE49-F238E27FC236}">
              <a16:creationId xmlns="" xmlns:a16="http://schemas.microsoft.com/office/drawing/2014/main" id="{9666F1E7-8FDE-4708-AB29-AE3A3FB9B537}"/>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670" name="Text Box 12">
          <a:extLst>
            <a:ext uri="{FF2B5EF4-FFF2-40B4-BE49-F238E27FC236}">
              <a16:creationId xmlns="" xmlns:a16="http://schemas.microsoft.com/office/drawing/2014/main" id="{F5C0C622-010A-43D8-AB10-74D50078E04F}"/>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671" name="Text Box 10">
          <a:extLst>
            <a:ext uri="{FF2B5EF4-FFF2-40B4-BE49-F238E27FC236}">
              <a16:creationId xmlns="" xmlns:a16="http://schemas.microsoft.com/office/drawing/2014/main" id="{885E7B61-893B-4D41-86CF-AEB769ACB820}"/>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672" name="Text Box 11">
          <a:extLst>
            <a:ext uri="{FF2B5EF4-FFF2-40B4-BE49-F238E27FC236}">
              <a16:creationId xmlns="" xmlns:a16="http://schemas.microsoft.com/office/drawing/2014/main" id="{7623E66F-67BB-475B-B8D9-C20AB33EBC72}"/>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673" name="Text Box 12">
          <a:extLst>
            <a:ext uri="{FF2B5EF4-FFF2-40B4-BE49-F238E27FC236}">
              <a16:creationId xmlns="" xmlns:a16="http://schemas.microsoft.com/office/drawing/2014/main" id="{D2AA4EE1-40CB-4020-B6E1-0363B0D9242A}"/>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674" name="Text Box 10">
          <a:extLst>
            <a:ext uri="{FF2B5EF4-FFF2-40B4-BE49-F238E27FC236}">
              <a16:creationId xmlns="" xmlns:a16="http://schemas.microsoft.com/office/drawing/2014/main" id="{913B20F0-49C4-4989-A10A-D4369693CB06}"/>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675" name="Text Box 11">
          <a:extLst>
            <a:ext uri="{FF2B5EF4-FFF2-40B4-BE49-F238E27FC236}">
              <a16:creationId xmlns="" xmlns:a16="http://schemas.microsoft.com/office/drawing/2014/main" id="{E10F250D-F029-4EC0-8CCC-0215E736B57F}"/>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676" name="Text Box 12">
          <a:extLst>
            <a:ext uri="{FF2B5EF4-FFF2-40B4-BE49-F238E27FC236}">
              <a16:creationId xmlns="" xmlns:a16="http://schemas.microsoft.com/office/drawing/2014/main" id="{B284D5B4-961F-43BD-8B39-A2953664A198}"/>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677" name="Text Box 10">
          <a:extLst>
            <a:ext uri="{FF2B5EF4-FFF2-40B4-BE49-F238E27FC236}">
              <a16:creationId xmlns="" xmlns:a16="http://schemas.microsoft.com/office/drawing/2014/main" id="{34B30C83-D8D6-485B-BECF-A3F5BD27BA6A}"/>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678" name="Text Box 11">
          <a:extLst>
            <a:ext uri="{FF2B5EF4-FFF2-40B4-BE49-F238E27FC236}">
              <a16:creationId xmlns="" xmlns:a16="http://schemas.microsoft.com/office/drawing/2014/main" id="{AE58D296-C360-497B-B08A-EBFEA9EAB2CE}"/>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679" name="Text Box 12">
          <a:extLst>
            <a:ext uri="{FF2B5EF4-FFF2-40B4-BE49-F238E27FC236}">
              <a16:creationId xmlns="" xmlns:a16="http://schemas.microsoft.com/office/drawing/2014/main" id="{C33C92A8-8372-435F-8CBC-B6401DE2C104}"/>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680" name="Text Box 10">
          <a:extLst>
            <a:ext uri="{FF2B5EF4-FFF2-40B4-BE49-F238E27FC236}">
              <a16:creationId xmlns="" xmlns:a16="http://schemas.microsoft.com/office/drawing/2014/main" id="{4D51A5E5-F0DC-463A-9D37-C2CDCD2A38D7}"/>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681" name="Text Box 11">
          <a:extLst>
            <a:ext uri="{FF2B5EF4-FFF2-40B4-BE49-F238E27FC236}">
              <a16:creationId xmlns="" xmlns:a16="http://schemas.microsoft.com/office/drawing/2014/main" id="{B56760C9-AA47-4BA6-A70F-FA1920FA2625}"/>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682" name="Text Box 12">
          <a:extLst>
            <a:ext uri="{FF2B5EF4-FFF2-40B4-BE49-F238E27FC236}">
              <a16:creationId xmlns="" xmlns:a16="http://schemas.microsoft.com/office/drawing/2014/main" id="{D0C4B6BD-D5BA-4B51-83D6-E67EAB8B242C}"/>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683" name="Text Box 10">
          <a:extLst>
            <a:ext uri="{FF2B5EF4-FFF2-40B4-BE49-F238E27FC236}">
              <a16:creationId xmlns="" xmlns:a16="http://schemas.microsoft.com/office/drawing/2014/main" id="{15C852CB-B9B1-46F3-A670-1DA4A6B2C06A}"/>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684" name="Text Box 11">
          <a:extLst>
            <a:ext uri="{FF2B5EF4-FFF2-40B4-BE49-F238E27FC236}">
              <a16:creationId xmlns="" xmlns:a16="http://schemas.microsoft.com/office/drawing/2014/main" id="{0B1D73BC-4731-48B5-AD2F-475D2DEDB2AD}"/>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685" name="Text Box 12">
          <a:extLst>
            <a:ext uri="{FF2B5EF4-FFF2-40B4-BE49-F238E27FC236}">
              <a16:creationId xmlns="" xmlns:a16="http://schemas.microsoft.com/office/drawing/2014/main" id="{27F27F73-FEBB-4F8B-928F-EAFBAD58967F}"/>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686" name="Text Box 10">
          <a:extLst>
            <a:ext uri="{FF2B5EF4-FFF2-40B4-BE49-F238E27FC236}">
              <a16:creationId xmlns="" xmlns:a16="http://schemas.microsoft.com/office/drawing/2014/main" id="{A89DE143-4F34-4FD3-B2CE-D639225C79C9}"/>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687" name="Text Box 11">
          <a:extLst>
            <a:ext uri="{FF2B5EF4-FFF2-40B4-BE49-F238E27FC236}">
              <a16:creationId xmlns="" xmlns:a16="http://schemas.microsoft.com/office/drawing/2014/main" id="{9EEBC506-7002-4E2D-8BC1-36D04A1313F2}"/>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688" name="Text Box 12">
          <a:extLst>
            <a:ext uri="{FF2B5EF4-FFF2-40B4-BE49-F238E27FC236}">
              <a16:creationId xmlns="" xmlns:a16="http://schemas.microsoft.com/office/drawing/2014/main" id="{F1272A86-9916-431D-A512-296CA38C6F3E}"/>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689" name="Text Box 10">
          <a:extLst>
            <a:ext uri="{FF2B5EF4-FFF2-40B4-BE49-F238E27FC236}">
              <a16:creationId xmlns="" xmlns:a16="http://schemas.microsoft.com/office/drawing/2014/main" id="{6E281ABB-DE64-453C-8D97-47A748813575}"/>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690" name="Text Box 11">
          <a:extLst>
            <a:ext uri="{FF2B5EF4-FFF2-40B4-BE49-F238E27FC236}">
              <a16:creationId xmlns="" xmlns:a16="http://schemas.microsoft.com/office/drawing/2014/main" id="{CD5475D4-428F-4354-BEFB-32C1C938F769}"/>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691" name="Text Box 12">
          <a:extLst>
            <a:ext uri="{FF2B5EF4-FFF2-40B4-BE49-F238E27FC236}">
              <a16:creationId xmlns="" xmlns:a16="http://schemas.microsoft.com/office/drawing/2014/main" id="{B7A89A9D-6D47-4243-B010-634D90EF2B2D}"/>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692" name="Text Box 10">
          <a:extLst>
            <a:ext uri="{FF2B5EF4-FFF2-40B4-BE49-F238E27FC236}">
              <a16:creationId xmlns="" xmlns:a16="http://schemas.microsoft.com/office/drawing/2014/main" id="{80A5F982-FEEF-41D3-99FD-0E510B7DDB4B}"/>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693" name="Text Box 11">
          <a:extLst>
            <a:ext uri="{FF2B5EF4-FFF2-40B4-BE49-F238E27FC236}">
              <a16:creationId xmlns="" xmlns:a16="http://schemas.microsoft.com/office/drawing/2014/main" id="{5D382966-C745-448C-B484-C0DB52ACCB88}"/>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694" name="Text Box 12">
          <a:extLst>
            <a:ext uri="{FF2B5EF4-FFF2-40B4-BE49-F238E27FC236}">
              <a16:creationId xmlns="" xmlns:a16="http://schemas.microsoft.com/office/drawing/2014/main" id="{3ADF9A1F-6094-4675-9FE3-9F1282436BEC}"/>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695" name="Text Box 10">
          <a:extLst>
            <a:ext uri="{FF2B5EF4-FFF2-40B4-BE49-F238E27FC236}">
              <a16:creationId xmlns="" xmlns:a16="http://schemas.microsoft.com/office/drawing/2014/main" id="{D9BD07CE-886D-4A5D-96F2-7D9A3D5BCDCE}"/>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696" name="Text Box 11">
          <a:extLst>
            <a:ext uri="{FF2B5EF4-FFF2-40B4-BE49-F238E27FC236}">
              <a16:creationId xmlns="" xmlns:a16="http://schemas.microsoft.com/office/drawing/2014/main" id="{95E2DADD-82FE-49CC-B4E9-5C4AF1ADEA74}"/>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697" name="Text Box 12">
          <a:extLst>
            <a:ext uri="{FF2B5EF4-FFF2-40B4-BE49-F238E27FC236}">
              <a16:creationId xmlns="" xmlns:a16="http://schemas.microsoft.com/office/drawing/2014/main" id="{5D1C8ED6-C2CA-45A9-8AD7-50E086514121}"/>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698" name="Text Box 10">
          <a:extLst>
            <a:ext uri="{FF2B5EF4-FFF2-40B4-BE49-F238E27FC236}">
              <a16:creationId xmlns="" xmlns:a16="http://schemas.microsoft.com/office/drawing/2014/main" id="{C66D7F66-3F39-4047-AC3D-D8B11EECC5F2}"/>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699" name="Text Box 11">
          <a:extLst>
            <a:ext uri="{FF2B5EF4-FFF2-40B4-BE49-F238E27FC236}">
              <a16:creationId xmlns="" xmlns:a16="http://schemas.microsoft.com/office/drawing/2014/main" id="{67BBD900-EFBF-4C90-A95C-25869C1E1B38}"/>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700" name="Text Box 12">
          <a:extLst>
            <a:ext uri="{FF2B5EF4-FFF2-40B4-BE49-F238E27FC236}">
              <a16:creationId xmlns="" xmlns:a16="http://schemas.microsoft.com/office/drawing/2014/main" id="{359CED55-8D92-4965-A138-A39594ADE530}"/>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701" name="Text Box 10">
          <a:extLst>
            <a:ext uri="{FF2B5EF4-FFF2-40B4-BE49-F238E27FC236}">
              <a16:creationId xmlns="" xmlns:a16="http://schemas.microsoft.com/office/drawing/2014/main" id="{DD99A585-BD71-4F2B-878A-BAA4B01F62F5}"/>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702" name="Text Box 11">
          <a:extLst>
            <a:ext uri="{FF2B5EF4-FFF2-40B4-BE49-F238E27FC236}">
              <a16:creationId xmlns="" xmlns:a16="http://schemas.microsoft.com/office/drawing/2014/main" id="{2AB0C94D-11EC-4DCE-8AA8-C48028ABAC50}"/>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703" name="Text Box 12">
          <a:extLst>
            <a:ext uri="{FF2B5EF4-FFF2-40B4-BE49-F238E27FC236}">
              <a16:creationId xmlns="" xmlns:a16="http://schemas.microsoft.com/office/drawing/2014/main" id="{14E0386D-DE02-4795-A732-F0C65EE55325}"/>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704" name="Text Box 10">
          <a:extLst>
            <a:ext uri="{FF2B5EF4-FFF2-40B4-BE49-F238E27FC236}">
              <a16:creationId xmlns="" xmlns:a16="http://schemas.microsoft.com/office/drawing/2014/main" id="{9CB5BE45-2A21-4F44-8CA9-51984874B610}"/>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705" name="Text Box 11">
          <a:extLst>
            <a:ext uri="{FF2B5EF4-FFF2-40B4-BE49-F238E27FC236}">
              <a16:creationId xmlns="" xmlns:a16="http://schemas.microsoft.com/office/drawing/2014/main" id="{D98E6B23-2844-445B-99FA-E305C9C76742}"/>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706" name="Text Box 12">
          <a:extLst>
            <a:ext uri="{FF2B5EF4-FFF2-40B4-BE49-F238E27FC236}">
              <a16:creationId xmlns="" xmlns:a16="http://schemas.microsoft.com/office/drawing/2014/main" id="{5A1522A1-5785-484C-BE0C-C77C7626962C}"/>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707" name="Text Box 10">
          <a:extLst>
            <a:ext uri="{FF2B5EF4-FFF2-40B4-BE49-F238E27FC236}">
              <a16:creationId xmlns="" xmlns:a16="http://schemas.microsoft.com/office/drawing/2014/main" id="{51758AD2-04E6-44C1-B2E6-D4D2FDB6B122}"/>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708" name="Text Box 11">
          <a:extLst>
            <a:ext uri="{FF2B5EF4-FFF2-40B4-BE49-F238E27FC236}">
              <a16:creationId xmlns="" xmlns:a16="http://schemas.microsoft.com/office/drawing/2014/main" id="{5BAB350D-46BD-4110-97FD-AD010F8CA339}"/>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709" name="Text Box 12">
          <a:extLst>
            <a:ext uri="{FF2B5EF4-FFF2-40B4-BE49-F238E27FC236}">
              <a16:creationId xmlns="" xmlns:a16="http://schemas.microsoft.com/office/drawing/2014/main" id="{A3C3642F-61AD-4F57-B579-8B175B14EBB2}"/>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710" name="Text Box 10">
          <a:extLst>
            <a:ext uri="{FF2B5EF4-FFF2-40B4-BE49-F238E27FC236}">
              <a16:creationId xmlns="" xmlns:a16="http://schemas.microsoft.com/office/drawing/2014/main" id="{0144F192-BE7B-4475-BFC0-7EC63AF819D2}"/>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711" name="Text Box 11">
          <a:extLst>
            <a:ext uri="{FF2B5EF4-FFF2-40B4-BE49-F238E27FC236}">
              <a16:creationId xmlns="" xmlns:a16="http://schemas.microsoft.com/office/drawing/2014/main" id="{A909F437-DB80-4B40-9327-3D24C07B412A}"/>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712" name="Text Box 12">
          <a:extLst>
            <a:ext uri="{FF2B5EF4-FFF2-40B4-BE49-F238E27FC236}">
              <a16:creationId xmlns="" xmlns:a16="http://schemas.microsoft.com/office/drawing/2014/main" id="{55EE2217-7671-43A2-BEF6-0A456D5A713C}"/>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713" name="Text Box 10">
          <a:extLst>
            <a:ext uri="{FF2B5EF4-FFF2-40B4-BE49-F238E27FC236}">
              <a16:creationId xmlns="" xmlns:a16="http://schemas.microsoft.com/office/drawing/2014/main" id="{55094568-8559-457C-B061-5CDA7D6E3993}"/>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714" name="Text Box 11">
          <a:extLst>
            <a:ext uri="{FF2B5EF4-FFF2-40B4-BE49-F238E27FC236}">
              <a16:creationId xmlns="" xmlns:a16="http://schemas.microsoft.com/office/drawing/2014/main" id="{A52989D5-8185-4CEF-9B96-0788DCDE7106}"/>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715" name="Text Box 12">
          <a:extLst>
            <a:ext uri="{FF2B5EF4-FFF2-40B4-BE49-F238E27FC236}">
              <a16:creationId xmlns="" xmlns:a16="http://schemas.microsoft.com/office/drawing/2014/main" id="{90C1B87A-7FE0-40D9-B205-459FA29D4645}"/>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716" name="Text Box 10">
          <a:extLst>
            <a:ext uri="{FF2B5EF4-FFF2-40B4-BE49-F238E27FC236}">
              <a16:creationId xmlns="" xmlns:a16="http://schemas.microsoft.com/office/drawing/2014/main" id="{C0FD94B7-6E89-4146-983C-F2991409313A}"/>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717" name="Text Box 11">
          <a:extLst>
            <a:ext uri="{FF2B5EF4-FFF2-40B4-BE49-F238E27FC236}">
              <a16:creationId xmlns="" xmlns:a16="http://schemas.microsoft.com/office/drawing/2014/main" id="{2CC283A7-725E-42ED-80C0-9BB0F5543703}"/>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718" name="Text Box 12">
          <a:extLst>
            <a:ext uri="{FF2B5EF4-FFF2-40B4-BE49-F238E27FC236}">
              <a16:creationId xmlns="" xmlns:a16="http://schemas.microsoft.com/office/drawing/2014/main" id="{37B8DA7D-3FB1-4416-991E-0190A9938D4A}"/>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719" name="Text Box 10">
          <a:extLst>
            <a:ext uri="{FF2B5EF4-FFF2-40B4-BE49-F238E27FC236}">
              <a16:creationId xmlns="" xmlns:a16="http://schemas.microsoft.com/office/drawing/2014/main" id="{FD1301F4-1F1E-42C6-AEED-C4F489210713}"/>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720" name="Text Box 11">
          <a:extLst>
            <a:ext uri="{FF2B5EF4-FFF2-40B4-BE49-F238E27FC236}">
              <a16:creationId xmlns="" xmlns:a16="http://schemas.microsoft.com/office/drawing/2014/main" id="{9DE9A5E8-B247-457C-907B-D578A794A11A}"/>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721" name="Text Box 12">
          <a:extLst>
            <a:ext uri="{FF2B5EF4-FFF2-40B4-BE49-F238E27FC236}">
              <a16:creationId xmlns="" xmlns:a16="http://schemas.microsoft.com/office/drawing/2014/main" id="{98EED239-AB5B-43C4-A17F-9BD04A49B074}"/>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722" name="Text Box 10">
          <a:extLst>
            <a:ext uri="{FF2B5EF4-FFF2-40B4-BE49-F238E27FC236}">
              <a16:creationId xmlns="" xmlns:a16="http://schemas.microsoft.com/office/drawing/2014/main" id="{304125FF-F953-418B-84DB-6066ED0A0358}"/>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723" name="Text Box 11">
          <a:extLst>
            <a:ext uri="{FF2B5EF4-FFF2-40B4-BE49-F238E27FC236}">
              <a16:creationId xmlns="" xmlns:a16="http://schemas.microsoft.com/office/drawing/2014/main" id="{6232D1E4-1341-45C4-88AF-EC03F99747B2}"/>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724" name="Text Box 12">
          <a:extLst>
            <a:ext uri="{FF2B5EF4-FFF2-40B4-BE49-F238E27FC236}">
              <a16:creationId xmlns="" xmlns:a16="http://schemas.microsoft.com/office/drawing/2014/main" id="{17824B71-49FF-4246-9B3E-08700179A00A}"/>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725" name="Text Box 10">
          <a:extLst>
            <a:ext uri="{FF2B5EF4-FFF2-40B4-BE49-F238E27FC236}">
              <a16:creationId xmlns="" xmlns:a16="http://schemas.microsoft.com/office/drawing/2014/main" id="{91EB8E1F-42B4-4A9C-8F93-89E489E39191}"/>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726" name="Text Box 11">
          <a:extLst>
            <a:ext uri="{FF2B5EF4-FFF2-40B4-BE49-F238E27FC236}">
              <a16:creationId xmlns="" xmlns:a16="http://schemas.microsoft.com/office/drawing/2014/main" id="{BECE7100-CD99-4577-A5F0-F853161B7B4F}"/>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727" name="Text Box 12">
          <a:extLst>
            <a:ext uri="{FF2B5EF4-FFF2-40B4-BE49-F238E27FC236}">
              <a16:creationId xmlns="" xmlns:a16="http://schemas.microsoft.com/office/drawing/2014/main" id="{41DEB2DF-63A1-4BF6-9E87-F02A8D07E5CE}"/>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728" name="Text Box 10">
          <a:extLst>
            <a:ext uri="{FF2B5EF4-FFF2-40B4-BE49-F238E27FC236}">
              <a16:creationId xmlns="" xmlns:a16="http://schemas.microsoft.com/office/drawing/2014/main" id="{211BA92C-1849-4DD8-995B-CEC0BE1B46A6}"/>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729" name="Text Box 11">
          <a:extLst>
            <a:ext uri="{FF2B5EF4-FFF2-40B4-BE49-F238E27FC236}">
              <a16:creationId xmlns="" xmlns:a16="http://schemas.microsoft.com/office/drawing/2014/main" id="{F3DF24B8-BB90-4F37-AE98-1BB67A3DF78B}"/>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730" name="Text Box 12">
          <a:extLst>
            <a:ext uri="{FF2B5EF4-FFF2-40B4-BE49-F238E27FC236}">
              <a16:creationId xmlns="" xmlns:a16="http://schemas.microsoft.com/office/drawing/2014/main" id="{4B8A415B-6827-4304-B745-494365BB4344}"/>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731" name="Text Box 10">
          <a:extLst>
            <a:ext uri="{FF2B5EF4-FFF2-40B4-BE49-F238E27FC236}">
              <a16:creationId xmlns="" xmlns:a16="http://schemas.microsoft.com/office/drawing/2014/main" id="{9064982E-799B-4E29-BDA2-B6EE7CFDF137}"/>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732" name="Text Box 11">
          <a:extLst>
            <a:ext uri="{FF2B5EF4-FFF2-40B4-BE49-F238E27FC236}">
              <a16:creationId xmlns="" xmlns:a16="http://schemas.microsoft.com/office/drawing/2014/main" id="{3705F4CD-50B8-4C9A-90A8-7B0A1CDC8DEE}"/>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733" name="Text Box 12">
          <a:extLst>
            <a:ext uri="{FF2B5EF4-FFF2-40B4-BE49-F238E27FC236}">
              <a16:creationId xmlns="" xmlns:a16="http://schemas.microsoft.com/office/drawing/2014/main" id="{7E0BC3E8-B3E8-42D6-9EAC-B3EBE463EE93}"/>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734" name="Text Box 10">
          <a:extLst>
            <a:ext uri="{FF2B5EF4-FFF2-40B4-BE49-F238E27FC236}">
              <a16:creationId xmlns="" xmlns:a16="http://schemas.microsoft.com/office/drawing/2014/main" id="{D598E8DD-F16E-461C-990E-C5C217FC4E18}"/>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735" name="Text Box 11">
          <a:extLst>
            <a:ext uri="{FF2B5EF4-FFF2-40B4-BE49-F238E27FC236}">
              <a16:creationId xmlns="" xmlns:a16="http://schemas.microsoft.com/office/drawing/2014/main" id="{83653673-6D70-41D7-9B0A-16D4C7835420}"/>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736" name="Text Box 12">
          <a:extLst>
            <a:ext uri="{FF2B5EF4-FFF2-40B4-BE49-F238E27FC236}">
              <a16:creationId xmlns="" xmlns:a16="http://schemas.microsoft.com/office/drawing/2014/main" id="{97C8931E-9C4B-4067-8A77-D8C57A10E5E7}"/>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737" name="Text Box 10">
          <a:extLst>
            <a:ext uri="{FF2B5EF4-FFF2-40B4-BE49-F238E27FC236}">
              <a16:creationId xmlns="" xmlns:a16="http://schemas.microsoft.com/office/drawing/2014/main" id="{D6B01795-F2C8-42C8-A84D-F9D3BCA7766C}"/>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738" name="Text Box 11">
          <a:extLst>
            <a:ext uri="{FF2B5EF4-FFF2-40B4-BE49-F238E27FC236}">
              <a16:creationId xmlns="" xmlns:a16="http://schemas.microsoft.com/office/drawing/2014/main" id="{606DD572-D211-47B5-A211-3B71921E6672}"/>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739" name="Text Box 12">
          <a:extLst>
            <a:ext uri="{FF2B5EF4-FFF2-40B4-BE49-F238E27FC236}">
              <a16:creationId xmlns="" xmlns:a16="http://schemas.microsoft.com/office/drawing/2014/main" id="{F9F11506-CEC4-45DB-9ED8-A35690D9E25F}"/>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740" name="Text Box 10">
          <a:extLst>
            <a:ext uri="{FF2B5EF4-FFF2-40B4-BE49-F238E27FC236}">
              <a16:creationId xmlns="" xmlns:a16="http://schemas.microsoft.com/office/drawing/2014/main" id="{E79CE326-A5D6-4065-9D57-0BAF489FD935}"/>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741" name="Text Box 11">
          <a:extLst>
            <a:ext uri="{FF2B5EF4-FFF2-40B4-BE49-F238E27FC236}">
              <a16:creationId xmlns="" xmlns:a16="http://schemas.microsoft.com/office/drawing/2014/main" id="{9DC772BC-0B81-4FEC-8110-B7CE2B4B9BFA}"/>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742" name="Text Box 12">
          <a:extLst>
            <a:ext uri="{FF2B5EF4-FFF2-40B4-BE49-F238E27FC236}">
              <a16:creationId xmlns="" xmlns:a16="http://schemas.microsoft.com/office/drawing/2014/main" id="{4C390D0A-4044-47BA-A836-2A0657BEE0F5}"/>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743" name="Text Box 10">
          <a:extLst>
            <a:ext uri="{FF2B5EF4-FFF2-40B4-BE49-F238E27FC236}">
              <a16:creationId xmlns="" xmlns:a16="http://schemas.microsoft.com/office/drawing/2014/main" id="{8ACCC8B4-5ED2-4B50-A3FC-A2EC78F379C7}"/>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744" name="Text Box 11">
          <a:extLst>
            <a:ext uri="{FF2B5EF4-FFF2-40B4-BE49-F238E27FC236}">
              <a16:creationId xmlns="" xmlns:a16="http://schemas.microsoft.com/office/drawing/2014/main" id="{173D010B-E7B8-4DE1-8C2D-DBB19BD20FE2}"/>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745" name="Text Box 12">
          <a:extLst>
            <a:ext uri="{FF2B5EF4-FFF2-40B4-BE49-F238E27FC236}">
              <a16:creationId xmlns="" xmlns:a16="http://schemas.microsoft.com/office/drawing/2014/main" id="{031FC73B-23B6-419B-BE6A-55EAEE238E13}"/>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746" name="Text Box 10">
          <a:extLst>
            <a:ext uri="{FF2B5EF4-FFF2-40B4-BE49-F238E27FC236}">
              <a16:creationId xmlns="" xmlns:a16="http://schemas.microsoft.com/office/drawing/2014/main" id="{B88AE148-E1A6-451C-B262-169138CEDDE3}"/>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747" name="Text Box 11">
          <a:extLst>
            <a:ext uri="{FF2B5EF4-FFF2-40B4-BE49-F238E27FC236}">
              <a16:creationId xmlns="" xmlns:a16="http://schemas.microsoft.com/office/drawing/2014/main" id="{43CC5A34-F07D-4559-952E-F8E10B3E31D1}"/>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748" name="Text Box 12">
          <a:extLst>
            <a:ext uri="{FF2B5EF4-FFF2-40B4-BE49-F238E27FC236}">
              <a16:creationId xmlns="" xmlns:a16="http://schemas.microsoft.com/office/drawing/2014/main" id="{7DB8B42A-13CF-43FF-8BAC-BD4F3B19C6E5}"/>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749" name="Text Box 10">
          <a:extLst>
            <a:ext uri="{FF2B5EF4-FFF2-40B4-BE49-F238E27FC236}">
              <a16:creationId xmlns="" xmlns:a16="http://schemas.microsoft.com/office/drawing/2014/main" id="{089DDFAC-3278-49B1-B836-94F9EDAA1EFB}"/>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750" name="Text Box 11">
          <a:extLst>
            <a:ext uri="{FF2B5EF4-FFF2-40B4-BE49-F238E27FC236}">
              <a16:creationId xmlns="" xmlns:a16="http://schemas.microsoft.com/office/drawing/2014/main" id="{FBB7B45B-E4A8-434F-9DB1-A029E3EE11E0}"/>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751" name="Text Box 12">
          <a:extLst>
            <a:ext uri="{FF2B5EF4-FFF2-40B4-BE49-F238E27FC236}">
              <a16:creationId xmlns="" xmlns:a16="http://schemas.microsoft.com/office/drawing/2014/main" id="{DE590ECB-11B4-4228-A5A5-658A420DECBD}"/>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752" name="Text Box 10">
          <a:extLst>
            <a:ext uri="{FF2B5EF4-FFF2-40B4-BE49-F238E27FC236}">
              <a16:creationId xmlns="" xmlns:a16="http://schemas.microsoft.com/office/drawing/2014/main" id="{507C612E-8187-4853-B33E-82A3A1E3F283}"/>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753" name="Text Box 11">
          <a:extLst>
            <a:ext uri="{FF2B5EF4-FFF2-40B4-BE49-F238E27FC236}">
              <a16:creationId xmlns="" xmlns:a16="http://schemas.microsoft.com/office/drawing/2014/main" id="{65600F68-503B-448B-B91A-CFEE906C1E50}"/>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754" name="Text Box 12">
          <a:extLst>
            <a:ext uri="{FF2B5EF4-FFF2-40B4-BE49-F238E27FC236}">
              <a16:creationId xmlns="" xmlns:a16="http://schemas.microsoft.com/office/drawing/2014/main" id="{805CCAE1-2147-4CEF-BF2B-47FDBAD7C084}"/>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755" name="Text Box 10">
          <a:extLst>
            <a:ext uri="{FF2B5EF4-FFF2-40B4-BE49-F238E27FC236}">
              <a16:creationId xmlns="" xmlns:a16="http://schemas.microsoft.com/office/drawing/2014/main" id="{E0E951BA-7431-46F4-8C53-4422129BCA15}"/>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756" name="Text Box 11">
          <a:extLst>
            <a:ext uri="{FF2B5EF4-FFF2-40B4-BE49-F238E27FC236}">
              <a16:creationId xmlns="" xmlns:a16="http://schemas.microsoft.com/office/drawing/2014/main" id="{81ED78AC-DBC5-4CB7-A4E2-5A9A72769416}"/>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757" name="Text Box 12">
          <a:extLst>
            <a:ext uri="{FF2B5EF4-FFF2-40B4-BE49-F238E27FC236}">
              <a16:creationId xmlns="" xmlns:a16="http://schemas.microsoft.com/office/drawing/2014/main" id="{03A7581E-C861-4267-B6AF-7DD12FB91F37}"/>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758" name="Text Box 10">
          <a:extLst>
            <a:ext uri="{FF2B5EF4-FFF2-40B4-BE49-F238E27FC236}">
              <a16:creationId xmlns="" xmlns:a16="http://schemas.microsoft.com/office/drawing/2014/main" id="{0B1649F8-7AB6-4B9A-8550-F31B28FFEC8A}"/>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759" name="Text Box 11">
          <a:extLst>
            <a:ext uri="{FF2B5EF4-FFF2-40B4-BE49-F238E27FC236}">
              <a16:creationId xmlns="" xmlns:a16="http://schemas.microsoft.com/office/drawing/2014/main" id="{5CFAAB15-F2D6-4B27-99B7-A61147C0307A}"/>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760" name="Text Box 12">
          <a:extLst>
            <a:ext uri="{FF2B5EF4-FFF2-40B4-BE49-F238E27FC236}">
              <a16:creationId xmlns="" xmlns:a16="http://schemas.microsoft.com/office/drawing/2014/main" id="{64F16543-AF43-43DA-B85D-A55E4315B33C}"/>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761" name="Text Box 10">
          <a:extLst>
            <a:ext uri="{FF2B5EF4-FFF2-40B4-BE49-F238E27FC236}">
              <a16:creationId xmlns="" xmlns:a16="http://schemas.microsoft.com/office/drawing/2014/main" id="{A38471E9-6C5B-4F3F-90F8-424CA6947F0D}"/>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762" name="Text Box 11">
          <a:extLst>
            <a:ext uri="{FF2B5EF4-FFF2-40B4-BE49-F238E27FC236}">
              <a16:creationId xmlns="" xmlns:a16="http://schemas.microsoft.com/office/drawing/2014/main" id="{2A01B97D-D1F5-4BB5-A30C-E5D0503E4475}"/>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763" name="Text Box 12">
          <a:extLst>
            <a:ext uri="{FF2B5EF4-FFF2-40B4-BE49-F238E27FC236}">
              <a16:creationId xmlns="" xmlns:a16="http://schemas.microsoft.com/office/drawing/2014/main" id="{DB2513E7-2A9A-4560-B3E4-4E32D465BCB7}"/>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764" name="Text Box 10">
          <a:extLst>
            <a:ext uri="{FF2B5EF4-FFF2-40B4-BE49-F238E27FC236}">
              <a16:creationId xmlns="" xmlns:a16="http://schemas.microsoft.com/office/drawing/2014/main" id="{31D80116-56D9-4BBC-A165-BEA7074F0ABE}"/>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765" name="Text Box 11">
          <a:extLst>
            <a:ext uri="{FF2B5EF4-FFF2-40B4-BE49-F238E27FC236}">
              <a16:creationId xmlns="" xmlns:a16="http://schemas.microsoft.com/office/drawing/2014/main" id="{80498ECA-8C54-4B0F-91F7-56F23BD5839A}"/>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766" name="Text Box 12">
          <a:extLst>
            <a:ext uri="{FF2B5EF4-FFF2-40B4-BE49-F238E27FC236}">
              <a16:creationId xmlns="" xmlns:a16="http://schemas.microsoft.com/office/drawing/2014/main" id="{ED830BE3-1EE2-4E70-89B0-353E0DE623CD}"/>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767" name="Text Box 10">
          <a:extLst>
            <a:ext uri="{FF2B5EF4-FFF2-40B4-BE49-F238E27FC236}">
              <a16:creationId xmlns="" xmlns:a16="http://schemas.microsoft.com/office/drawing/2014/main" id="{8A7D3EAF-D8AB-4875-84C9-5F70FB6C09F8}"/>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768" name="Text Box 11">
          <a:extLst>
            <a:ext uri="{FF2B5EF4-FFF2-40B4-BE49-F238E27FC236}">
              <a16:creationId xmlns="" xmlns:a16="http://schemas.microsoft.com/office/drawing/2014/main" id="{ACA09921-AAC2-4937-A497-AB4E7BFE628D}"/>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769" name="Text Box 12">
          <a:extLst>
            <a:ext uri="{FF2B5EF4-FFF2-40B4-BE49-F238E27FC236}">
              <a16:creationId xmlns="" xmlns:a16="http://schemas.microsoft.com/office/drawing/2014/main" id="{E3FA2496-3684-4CA0-81E4-6B1522C995BB}"/>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770" name="Text Box 10">
          <a:extLst>
            <a:ext uri="{FF2B5EF4-FFF2-40B4-BE49-F238E27FC236}">
              <a16:creationId xmlns="" xmlns:a16="http://schemas.microsoft.com/office/drawing/2014/main" id="{7B1591F3-C8D3-4687-9030-A9D0AC9FEE00}"/>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771" name="Text Box 11">
          <a:extLst>
            <a:ext uri="{FF2B5EF4-FFF2-40B4-BE49-F238E27FC236}">
              <a16:creationId xmlns="" xmlns:a16="http://schemas.microsoft.com/office/drawing/2014/main" id="{A2FF192A-7701-4F31-99F9-5B82F33253CA}"/>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772" name="Text Box 12">
          <a:extLst>
            <a:ext uri="{FF2B5EF4-FFF2-40B4-BE49-F238E27FC236}">
              <a16:creationId xmlns="" xmlns:a16="http://schemas.microsoft.com/office/drawing/2014/main" id="{AFE97CAE-A5AB-46B7-A7D3-A2400C9A177D}"/>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773" name="Text Box 10">
          <a:extLst>
            <a:ext uri="{FF2B5EF4-FFF2-40B4-BE49-F238E27FC236}">
              <a16:creationId xmlns="" xmlns:a16="http://schemas.microsoft.com/office/drawing/2014/main" id="{169D1627-2E53-4FD5-94A3-73EE2C309AAA}"/>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774" name="Text Box 11">
          <a:extLst>
            <a:ext uri="{FF2B5EF4-FFF2-40B4-BE49-F238E27FC236}">
              <a16:creationId xmlns="" xmlns:a16="http://schemas.microsoft.com/office/drawing/2014/main" id="{2F602FD1-4001-45B0-B4BF-897D75712D16}"/>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17</xdr:row>
      <xdr:rowOff>310497</xdr:rowOff>
    </xdr:to>
    <xdr:sp macro="" textlink="">
      <xdr:nvSpPr>
        <xdr:cNvPr id="775" name="Text Box 12">
          <a:extLst>
            <a:ext uri="{FF2B5EF4-FFF2-40B4-BE49-F238E27FC236}">
              <a16:creationId xmlns="" xmlns:a16="http://schemas.microsoft.com/office/drawing/2014/main" id="{03D1CB45-94B9-4525-BA21-7A0F1429B980}"/>
            </a:ext>
          </a:extLst>
        </xdr:cNvPr>
        <xdr:cNvSpPr txBox="1">
          <a:spLocks noChangeArrowheads="1"/>
        </xdr:cNvSpPr>
      </xdr:nvSpPr>
      <xdr:spPr bwMode="auto">
        <a:xfrm>
          <a:off x="4286250" y="2981325"/>
          <a:ext cx="95250" cy="20180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776" name="Text Box 10">
          <a:extLst>
            <a:ext uri="{FF2B5EF4-FFF2-40B4-BE49-F238E27FC236}">
              <a16:creationId xmlns="" xmlns:a16="http://schemas.microsoft.com/office/drawing/2014/main" id="{C5F4EBCA-DD85-46BF-8614-5AE115B3573F}"/>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777" name="Text Box 11">
          <a:extLst>
            <a:ext uri="{FF2B5EF4-FFF2-40B4-BE49-F238E27FC236}">
              <a16:creationId xmlns="" xmlns:a16="http://schemas.microsoft.com/office/drawing/2014/main" id="{C60BA487-9E77-431A-8D9F-4FBC30732576}"/>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778" name="Text Box 12">
          <a:extLst>
            <a:ext uri="{FF2B5EF4-FFF2-40B4-BE49-F238E27FC236}">
              <a16:creationId xmlns="" xmlns:a16="http://schemas.microsoft.com/office/drawing/2014/main" id="{E1100C94-220F-4668-BA05-40B699BBD453}"/>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85725</xdr:colOff>
      <xdr:row>17</xdr:row>
      <xdr:rowOff>75984</xdr:rowOff>
    </xdr:to>
    <xdr:sp macro="" textlink="">
      <xdr:nvSpPr>
        <xdr:cNvPr id="779" name="Text Box 10">
          <a:extLst>
            <a:ext uri="{FF2B5EF4-FFF2-40B4-BE49-F238E27FC236}">
              <a16:creationId xmlns="" xmlns:a16="http://schemas.microsoft.com/office/drawing/2014/main" id="{5024CF56-2FD8-480B-997E-BB1077007957}"/>
            </a:ext>
          </a:extLst>
        </xdr:cNvPr>
        <xdr:cNvSpPr txBox="1">
          <a:spLocks noChangeArrowheads="1"/>
        </xdr:cNvSpPr>
      </xdr:nvSpPr>
      <xdr:spPr bwMode="auto">
        <a:xfrm>
          <a:off x="4286250" y="2981325"/>
          <a:ext cx="76200" cy="1783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85725</xdr:colOff>
      <xdr:row>17</xdr:row>
      <xdr:rowOff>75984</xdr:rowOff>
    </xdr:to>
    <xdr:sp macro="" textlink="">
      <xdr:nvSpPr>
        <xdr:cNvPr id="780" name="Text Box 11">
          <a:extLst>
            <a:ext uri="{FF2B5EF4-FFF2-40B4-BE49-F238E27FC236}">
              <a16:creationId xmlns="" xmlns:a16="http://schemas.microsoft.com/office/drawing/2014/main" id="{3903E5C4-3BD7-459F-9BEA-39FDBB81FBCF}"/>
            </a:ext>
          </a:extLst>
        </xdr:cNvPr>
        <xdr:cNvSpPr txBox="1">
          <a:spLocks noChangeArrowheads="1"/>
        </xdr:cNvSpPr>
      </xdr:nvSpPr>
      <xdr:spPr bwMode="auto">
        <a:xfrm>
          <a:off x="4286250" y="2981325"/>
          <a:ext cx="76200" cy="1783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85725</xdr:colOff>
      <xdr:row>17</xdr:row>
      <xdr:rowOff>75984</xdr:rowOff>
    </xdr:to>
    <xdr:sp macro="" textlink="">
      <xdr:nvSpPr>
        <xdr:cNvPr id="781" name="Text Box 12">
          <a:extLst>
            <a:ext uri="{FF2B5EF4-FFF2-40B4-BE49-F238E27FC236}">
              <a16:creationId xmlns="" xmlns:a16="http://schemas.microsoft.com/office/drawing/2014/main" id="{D3E69534-E416-4C09-A771-CD0438E0E234}"/>
            </a:ext>
          </a:extLst>
        </xdr:cNvPr>
        <xdr:cNvSpPr txBox="1">
          <a:spLocks noChangeArrowheads="1"/>
        </xdr:cNvSpPr>
      </xdr:nvSpPr>
      <xdr:spPr bwMode="auto">
        <a:xfrm>
          <a:off x="4286250" y="2981325"/>
          <a:ext cx="76200" cy="1783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782" name="Text Box 10">
          <a:extLst>
            <a:ext uri="{FF2B5EF4-FFF2-40B4-BE49-F238E27FC236}">
              <a16:creationId xmlns="" xmlns:a16="http://schemas.microsoft.com/office/drawing/2014/main" id="{0CB4E91C-B559-4480-858E-D880F8BFA5FB}"/>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783" name="Text Box 11">
          <a:extLst>
            <a:ext uri="{FF2B5EF4-FFF2-40B4-BE49-F238E27FC236}">
              <a16:creationId xmlns="" xmlns:a16="http://schemas.microsoft.com/office/drawing/2014/main" id="{EAB764C6-E584-4111-8310-E28BD8B3FC10}"/>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784" name="Text Box 12">
          <a:extLst>
            <a:ext uri="{FF2B5EF4-FFF2-40B4-BE49-F238E27FC236}">
              <a16:creationId xmlns="" xmlns:a16="http://schemas.microsoft.com/office/drawing/2014/main" id="{386A02F3-1D6C-45B2-AAC1-6858BCCB6120}"/>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85725</xdr:colOff>
      <xdr:row>17</xdr:row>
      <xdr:rowOff>75984</xdr:rowOff>
    </xdr:to>
    <xdr:sp macro="" textlink="">
      <xdr:nvSpPr>
        <xdr:cNvPr id="785" name="Text Box 10">
          <a:extLst>
            <a:ext uri="{FF2B5EF4-FFF2-40B4-BE49-F238E27FC236}">
              <a16:creationId xmlns="" xmlns:a16="http://schemas.microsoft.com/office/drawing/2014/main" id="{218B193A-E4B3-469E-B29B-75DFDF5519B4}"/>
            </a:ext>
          </a:extLst>
        </xdr:cNvPr>
        <xdr:cNvSpPr txBox="1">
          <a:spLocks noChangeArrowheads="1"/>
        </xdr:cNvSpPr>
      </xdr:nvSpPr>
      <xdr:spPr bwMode="auto">
        <a:xfrm>
          <a:off x="4286250" y="2981325"/>
          <a:ext cx="76200" cy="1783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85725</xdr:colOff>
      <xdr:row>17</xdr:row>
      <xdr:rowOff>75984</xdr:rowOff>
    </xdr:to>
    <xdr:sp macro="" textlink="">
      <xdr:nvSpPr>
        <xdr:cNvPr id="786" name="Text Box 11">
          <a:extLst>
            <a:ext uri="{FF2B5EF4-FFF2-40B4-BE49-F238E27FC236}">
              <a16:creationId xmlns="" xmlns:a16="http://schemas.microsoft.com/office/drawing/2014/main" id="{1D36B1AE-5DBF-4A35-98D3-4E79E45DF9EE}"/>
            </a:ext>
          </a:extLst>
        </xdr:cNvPr>
        <xdr:cNvSpPr txBox="1">
          <a:spLocks noChangeArrowheads="1"/>
        </xdr:cNvSpPr>
      </xdr:nvSpPr>
      <xdr:spPr bwMode="auto">
        <a:xfrm>
          <a:off x="4286250" y="2981325"/>
          <a:ext cx="76200" cy="1783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85725</xdr:colOff>
      <xdr:row>17</xdr:row>
      <xdr:rowOff>75984</xdr:rowOff>
    </xdr:to>
    <xdr:sp macro="" textlink="">
      <xdr:nvSpPr>
        <xdr:cNvPr id="787" name="Text Box 12">
          <a:extLst>
            <a:ext uri="{FF2B5EF4-FFF2-40B4-BE49-F238E27FC236}">
              <a16:creationId xmlns="" xmlns:a16="http://schemas.microsoft.com/office/drawing/2014/main" id="{8FD371B8-F0E9-4775-81A3-41861564A9D8}"/>
            </a:ext>
          </a:extLst>
        </xdr:cNvPr>
        <xdr:cNvSpPr txBox="1">
          <a:spLocks noChangeArrowheads="1"/>
        </xdr:cNvSpPr>
      </xdr:nvSpPr>
      <xdr:spPr bwMode="auto">
        <a:xfrm>
          <a:off x="4286250" y="2981325"/>
          <a:ext cx="76200" cy="1783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788" name="Text Box 10">
          <a:extLst>
            <a:ext uri="{FF2B5EF4-FFF2-40B4-BE49-F238E27FC236}">
              <a16:creationId xmlns="" xmlns:a16="http://schemas.microsoft.com/office/drawing/2014/main" id="{07A3C5B0-4C4A-49FE-9676-651922E75558}"/>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789" name="Text Box 11">
          <a:extLst>
            <a:ext uri="{FF2B5EF4-FFF2-40B4-BE49-F238E27FC236}">
              <a16:creationId xmlns="" xmlns:a16="http://schemas.microsoft.com/office/drawing/2014/main" id="{8A5DA265-933D-4A01-97B1-F952030CE711}"/>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790" name="Text Box 12">
          <a:extLst>
            <a:ext uri="{FF2B5EF4-FFF2-40B4-BE49-F238E27FC236}">
              <a16:creationId xmlns="" xmlns:a16="http://schemas.microsoft.com/office/drawing/2014/main" id="{55BB1210-E150-4E8B-AD38-7A0DE0385628}"/>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791" name="Text Box 10">
          <a:extLst>
            <a:ext uri="{FF2B5EF4-FFF2-40B4-BE49-F238E27FC236}">
              <a16:creationId xmlns="" xmlns:a16="http://schemas.microsoft.com/office/drawing/2014/main" id="{28847DAF-AC18-4C0E-B0FC-2566BF28AB9D}"/>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792" name="Text Box 11">
          <a:extLst>
            <a:ext uri="{FF2B5EF4-FFF2-40B4-BE49-F238E27FC236}">
              <a16:creationId xmlns="" xmlns:a16="http://schemas.microsoft.com/office/drawing/2014/main" id="{26A8E0F7-5C2D-436C-844F-59C7C07B750B}"/>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793" name="Text Box 12">
          <a:extLst>
            <a:ext uri="{FF2B5EF4-FFF2-40B4-BE49-F238E27FC236}">
              <a16:creationId xmlns="" xmlns:a16="http://schemas.microsoft.com/office/drawing/2014/main" id="{2E088B40-F2A0-4963-B043-3FBDF9C0B62A}"/>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794" name="Text Box 10">
          <a:extLst>
            <a:ext uri="{FF2B5EF4-FFF2-40B4-BE49-F238E27FC236}">
              <a16:creationId xmlns="" xmlns:a16="http://schemas.microsoft.com/office/drawing/2014/main" id="{29837BD4-35EC-4A95-A7C0-C0F5645490CF}"/>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795" name="Text Box 11">
          <a:extLst>
            <a:ext uri="{FF2B5EF4-FFF2-40B4-BE49-F238E27FC236}">
              <a16:creationId xmlns="" xmlns:a16="http://schemas.microsoft.com/office/drawing/2014/main" id="{60DE5960-B377-4D84-AFAF-F11E79B186CC}"/>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796" name="Text Box 12">
          <a:extLst>
            <a:ext uri="{FF2B5EF4-FFF2-40B4-BE49-F238E27FC236}">
              <a16:creationId xmlns="" xmlns:a16="http://schemas.microsoft.com/office/drawing/2014/main" id="{265B72E6-3F5D-4DFB-8123-47ED304BA2DD}"/>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797" name="Text Box 10">
          <a:extLst>
            <a:ext uri="{FF2B5EF4-FFF2-40B4-BE49-F238E27FC236}">
              <a16:creationId xmlns="" xmlns:a16="http://schemas.microsoft.com/office/drawing/2014/main" id="{6A3B2EDD-E110-402A-8E30-A13DB5254CC4}"/>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798" name="Text Box 11">
          <a:extLst>
            <a:ext uri="{FF2B5EF4-FFF2-40B4-BE49-F238E27FC236}">
              <a16:creationId xmlns="" xmlns:a16="http://schemas.microsoft.com/office/drawing/2014/main" id="{032B45C3-CC9D-436E-8627-F35E0D13EB2F}"/>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799" name="Text Box 12">
          <a:extLst>
            <a:ext uri="{FF2B5EF4-FFF2-40B4-BE49-F238E27FC236}">
              <a16:creationId xmlns="" xmlns:a16="http://schemas.microsoft.com/office/drawing/2014/main" id="{63967CEB-4D86-4DC3-BFA8-10533D3B396C}"/>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800" name="Text Box 10">
          <a:extLst>
            <a:ext uri="{FF2B5EF4-FFF2-40B4-BE49-F238E27FC236}">
              <a16:creationId xmlns="" xmlns:a16="http://schemas.microsoft.com/office/drawing/2014/main" id="{0228D5A4-3B1C-4265-B192-5C8B01E3E039}"/>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801" name="Text Box 11">
          <a:extLst>
            <a:ext uri="{FF2B5EF4-FFF2-40B4-BE49-F238E27FC236}">
              <a16:creationId xmlns="" xmlns:a16="http://schemas.microsoft.com/office/drawing/2014/main" id="{1B37B025-8DA0-4C64-876D-09AA2CB44E64}"/>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802" name="Text Box 12">
          <a:extLst>
            <a:ext uri="{FF2B5EF4-FFF2-40B4-BE49-F238E27FC236}">
              <a16:creationId xmlns="" xmlns:a16="http://schemas.microsoft.com/office/drawing/2014/main" id="{27530086-BAE8-4A8A-B8E5-BA06367E0F95}"/>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85725</xdr:colOff>
      <xdr:row>17</xdr:row>
      <xdr:rowOff>75984</xdr:rowOff>
    </xdr:to>
    <xdr:sp macro="" textlink="">
      <xdr:nvSpPr>
        <xdr:cNvPr id="803" name="Text Box 10">
          <a:extLst>
            <a:ext uri="{FF2B5EF4-FFF2-40B4-BE49-F238E27FC236}">
              <a16:creationId xmlns="" xmlns:a16="http://schemas.microsoft.com/office/drawing/2014/main" id="{C20188E3-A3DE-48A7-8A72-426A2204C63F}"/>
            </a:ext>
          </a:extLst>
        </xdr:cNvPr>
        <xdr:cNvSpPr txBox="1">
          <a:spLocks noChangeArrowheads="1"/>
        </xdr:cNvSpPr>
      </xdr:nvSpPr>
      <xdr:spPr bwMode="auto">
        <a:xfrm>
          <a:off x="4286250" y="2981325"/>
          <a:ext cx="76200" cy="1783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85725</xdr:colOff>
      <xdr:row>17</xdr:row>
      <xdr:rowOff>75984</xdr:rowOff>
    </xdr:to>
    <xdr:sp macro="" textlink="">
      <xdr:nvSpPr>
        <xdr:cNvPr id="804" name="Text Box 11">
          <a:extLst>
            <a:ext uri="{FF2B5EF4-FFF2-40B4-BE49-F238E27FC236}">
              <a16:creationId xmlns="" xmlns:a16="http://schemas.microsoft.com/office/drawing/2014/main" id="{0DEF2C2B-0956-4071-A444-C53565073D34}"/>
            </a:ext>
          </a:extLst>
        </xdr:cNvPr>
        <xdr:cNvSpPr txBox="1">
          <a:spLocks noChangeArrowheads="1"/>
        </xdr:cNvSpPr>
      </xdr:nvSpPr>
      <xdr:spPr bwMode="auto">
        <a:xfrm>
          <a:off x="4286250" y="2981325"/>
          <a:ext cx="76200" cy="1783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85725</xdr:colOff>
      <xdr:row>17</xdr:row>
      <xdr:rowOff>75984</xdr:rowOff>
    </xdr:to>
    <xdr:sp macro="" textlink="">
      <xdr:nvSpPr>
        <xdr:cNvPr id="805" name="Text Box 12">
          <a:extLst>
            <a:ext uri="{FF2B5EF4-FFF2-40B4-BE49-F238E27FC236}">
              <a16:creationId xmlns="" xmlns:a16="http://schemas.microsoft.com/office/drawing/2014/main" id="{B4CF5BA9-6FD9-4745-9F4F-C4C3B9EE4F75}"/>
            </a:ext>
          </a:extLst>
        </xdr:cNvPr>
        <xdr:cNvSpPr txBox="1">
          <a:spLocks noChangeArrowheads="1"/>
        </xdr:cNvSpPr>
      </xdr:nvSpPr>
      <xdr:spPr bwMode="auto">
        <a:xfrm>
          <a:off x="4286250" y="2981325"/>
          <a:ext cx="76200" cy="1783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806" name="Text Box 10">
          <a:extLst>
            <a:ext uri="{FF2B5EF4-FFF2-40B4-BE49-F238E27FC236}">
              <a16:creationId xmlns="" xmlns:a16="http://schemas.microsoft.com/office/drawing/2014/main" id="{7E524433-5C34-42F0-96D0-2CEF8775C09F}"/>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807" name="Text Box 11">
          <a:extLst>
            <a:ext uri="{FF2B5EF4-FFF2-40B4-BE49-F238E27FC236}">
              <a16:creationId xmlns="" xmlns:a16="http://schemas.microsoft.com/office/drawing/2014/main" id="{C46126F3-1130-48BE-82F8-156548475C6F}"/>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808" name="Text Box 12">
          <a:extLst>
            <a:ext uri="{FF2B5EF4-FFF2-40B4-BE49-F238E27FC236}">
              <a16:creationId xmlns="" xmlns:a16="http://schemas.microsoft.com/office/drawing/2014/main" id="{189EAEFF-7F73-4AD4-A41E-E5982346F49B}"/>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85725</xdr:colOff>
      <xdr:row>17</xdr:row>
      <xdr:rowOff>75984</xdr:rowOff>
    </xdr:to>
    <xdr:sp macro="" textlink="">
      <xdr:nvSpPr>
        <xdr:cNvPr id="809" name="Text Box 10">
          <a:extLst>
            <a:ext uri="{FF2B5EF4-FFF2-40B4-BE49-F238E27FC236}">
              <a16:creationId xmlns="" xmlns:a16="http://schemas.microsoft.com/office/drawing/2014/main" id="{9CC09947-8280-479C-A857-AC5C9C3706B5}"/>
            </a:ext>
          </a:extLst>
        </xdr:cNvPr>
        <xdr:cNvSpPr txBox="1">
          <a:spLocks noChangeArrowheads="1"/>
        </xdr:cNvSpPr>
      </xdr:nvSpPr>
      <xdr:spPr bwMode="auto">
        <a:xfrm>
          <a:off x="4286250" y="2981325"/>
          <a:ext cx="76200" cy="1783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85725</xdr:colOff>
      <xdr:row>17</xdr:row>
      <xdr:rowOff>75984</xdr:rowOff>
    </xdr:to>
    <xdr:sp macro="" textlink="">
      <xdr:nvSpPr>
        <xdr:cNvPr id="810" name="Text Box 11">
          <a:extLst>
            <a:ext uri="{FF2B5EF4-FFF2-40B4-BE49-F238E27FC236}">
              <a16:creationId xmlns="" xmlns:a16="http://schemas.microsoft.com/office/drawing/2014/main" id="{50FB547F-61E4-42C7-95FF-642411FC838D}"/>
            </a:ext>
          </a:extLst>
        </xdr:cNvPr>
        <xdr:cNvSpPr txBox="1">
          <a:spLocks noChangeArrowheads="1"/>
        </xdr:cNvSpPr>
      </xdr:nvSpPr>
      <xdr:spPr bwMode="auto">
        <a:xfrm>
          <a:off x="4286250" y="2981325"/>
          <a:ext cx="76200" cy="1783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85725</xdr:colOff>
      <xdr:row>17</xdr:row>
      <xdr:rowOff>75984</xdr:rowOff>
    </xdr:to>
    <xdr:sp macro="" textlink="">
      <xdr:nvSpPr>
        <xdr:cNvPr id="811" name="Text Box 12">
          <a:extLst>
            <a:ext uri="{FF2B5EF4-FFF2-40B4-BE49-F238E27FC236}">
              <a16:creationId xmlns="" xmlns:a16="http://schemas.microsoft.com/office/drawing/2014/main" id="{407C9EB9-E7D2-465E-A444-EC87833ECE83}"/>
            </a:ext>
          </a:extLst>
        </xdr:cNvPr>
        <xdr:cNvSpPr txBox="1">
          <a:spLocks noChangeArrowheads="1"/>
        </xdr:cNvSpPr>
      </xdr:nvSpPr>
      <xdr:spPr bwMode="auto">
        <a:xfrm>
          <a:off x="4286250" y="2981325"/>
          <a:ext cx="76200" cy="1783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812" name="Text Box 10">
          <a:extLst>
            <a:ext uri="{FF2B5EF4-FFF2-40B4-BE49-F238E27FC236}">
              <a16:creationId xmlns="" xmlns:a16="http://schemas.microsoft.com/office/drawing/2014/main" id="{D358C52A-C7C3-4D0A-ACB6-154AFD91A95C}"/>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813" name="Text Box 11">
          <a:extLst>
            <a:ext uri="{FF2B5EF4-FFF2-40B4-BE49-F238E27FC236}">
              <a16:creationId xmlns="" xmlns:a16="http://schemas.microsoft.com/office/drawing/2014/main" id="{DC904AB7-457C-4BC2-AAE3-D299BB0722E8}"/>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814" name="Text Box 12">
          <a:extLst>
            <a:ext uri="{FF2B5EF4-FFF2-40B4-BE49-F238E27FC236}">
              <a16:creationId xmlns="" xmlns:a16="http://schemas.microsoft.com/office/drawing/2014/main" id="{8D9A3C2A-5B3D-4C7E-B71E-EF05213885E1}"/>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815" name="Text Box 10">
          <a:extLst>
            <a:ext uri="{FF2B5EF4-FFF2-40B4-BE49-F238E27FC236}">
              <a16:creationId xmlns="" xmlns:a16="http://schemas.microsoft.com/office/drawing/2014/main" id="{A4CC6294-F16B-4624-B064-4A70FBFC70C9}"/>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816" name="Text Box 11">
          <a:extLst>
            <a:ext uri="{FF2B5EF4-FFF2-40B4-BE49-F238E27FC236}">
              <a16:creationId xmlns="" xmlns:a16="http://schemas.microsoft.com/office/drawing/2014/main" id="{30710BCE-D506-404F-80F1-3E66E61F7847}"/>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817" name="Text Box 12">
          <a:extLst>
            <a:ext uri="{FF2B5EF4-FFF2-40B4-BE49-F238E27FC236}">
              <a16:creationId xmlns="" xmlns:a16="http://schemas.microsoft.com/office/drawing/2014/main" id="{0F5501F5-BCE3-4118-B50A-4F950965E5AA}"/>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818" name="Text Box 10">
          <a:extLst>
            <a:ext uri="{FF2B5EF4-FFF2-40B4-BE49-F238E27FC236}">
              <a16:creationId xmlns="" xmlns:a16="http://schemas.microsoft.com/office/drawing/2014/main" id="{D324D7C4-6203-4649-983D-0765FABF76FA}"/>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819" name="Text Box 11">
          <a:extLst>
            <a:ext uri="{FF2B5EF4-FFF2-40B4-BE49-F238E27FC236}">
              <a16:creationId xmlns="" xmlns:a16="http://schemas.microsoft.com/office/drawing/2014/main" id="{931F8652-1565-4EFD-8282-60FFF2EE6A14}"/>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820" name="Text Box 12">
          <a:extLst>
            <a:ext uri="{FF2B5EF4-FFF2-40B4-BE49-F238E27FC236}">
              <a16:creationId xmlns="" xmlns:a16="http://schemas.microsoft.com/office/drawing/2014/main" id="{2FB68A94-F6E0-47ED-BC05-674E99B42A99}"/>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821" name="Text Box 10">
          <a:extLst>
            <a:ext uri="{FF2B5EF4-FFF2-40B4-BE49-F238E27FC236}">
              <a16:creationId xmlns="" xmlns:a16="http://schemas.microsoft.com/office/drawing/2014/main" id="{3FF00EC0-8BE3-48A7-8E7D-4555C18929EB}"/>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822" name="Text Box 11">
          <a:extLst>
            <a:ext uri="{FF2B5EF4-FFF2-40B4-BE49-F238E27FC236}">
              <a16:creationId xmlns="" xmlns:a16="http://schemas.microsoft.com/office/drawing/2014/main" id="{8B6B4100-E400-40F2-A999-2744DB1B9260}"/>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823" name="Text Box 12">
          <a:extLst>
            <a:ext uri="{FF2B5EF4-FFF2-40B4-BE49-F238E27FC236}">
              <a16:creationId xmlns="" xmlns:a16="http://schemas.microsoft.com/office/drawing/2014/main" id="{82638A63-1EA0-431E-9FE3-2E7A54E6A43C}"/>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824" name="Text Box 10">
          <a:extLst>
            <a:ext uri="{FF2B5EF4-FFF2-40B4-BE49-F238E27FC236}">
              <a16:creationId xmlns="" xmlns:a16="http://schemas.microsoft.com/office/drawing/2014/main" id="{5F94B3C9-05A0-4DCC-A221-5C83188D89D6}"/>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825" name="Text Box 11">
          <a:extLst>
            <a:ext uri="{FF2B5EF4-FFF2-40B4-BE49-F238E27FC236}">
              <a16:creationId xmlns="" xmlns:a16="http://schemas.microsoft.com/office/drawing/2014/main" id="{B69C0929-7F91-4DFD-BE88-A791910D427D}"/>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826" name="Text Box 12">
          <a:extLst>
            <a:ext uri="{FF2B5EF4-FFF2-40B4-BE49-F238E27FC236}">
              <a16:creationId xmlns="" xmlns:a16="http://schemas.microsoft.com/office/drawing/2014/main" id="{59EBA392-69D4-4E91-89B7-5F3004962670}"/>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827" name="Text Box 10">
          <a:extLst>
            <a:ext uri="{FF2B5EF4-FFF2-40B4-BE49-F238E27FC236}">
              <a16:creationId xmlns="" xmlns:a16="http://schemas.microsoft.com/office/drawing/2014/main" id="{C941D68C-C833-4DBB-8444-69C3F66C7E7C}"/>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828" name="Text Box 11">
          <a:extLst>
            <a:ext uri="{FF2B5EF4-FFF2-40B4-BE49-F238E27FC236}">
              <a16:creationId xmlns="" xmlns:a16="http://schemas.microsoft.com/office/drawing/2014/main" id="{EA9053A7-C147-43D1-B987-CDED132DBBEA}"/>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829" name="Text Box 12">
          <a:extLst>
            <a:ext uri="{FF2B5EF4-FFF2-40B4-BE49-F238E27FC236}">
              <a16:creationId xmlns="" xmlns:a16="http://schemas.microsoft.com/office/drawing/2014/main" id="{F7E5F100-5173-4A0D-8DCA-6A04D63FFCC1}"/>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830" name="Text Box 10">
          <a:extLst>
            <a:ext uri="{FF2B5EF4-FFF2-40B4-BE49-F238E27FC236}">
              <a16:creationId xmlns="" xmlns:a16="http://schemas.microsoft.com/office/drawing/2014/main" id="{2A6D510F-FFFA-45AF-B849-982D15E537C3}"/>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831" name="Text Box 11">
          <a:extLst>
            <a:ext uri="{FF2B5EF4-FFF2-40B4-BE49-F238E27FC236}">
              <a16:creationId xmlns="" xmlns:a16="http://schemas.microsoft.com/office/drawing/2014/main" id="{DA503A25-4C20-40E1-9793-2AE48135DA7F}"/>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832" name="Text Box 12">
          <a:extLst>
            <a:ext uri="{FF2B5EF4-FFF2-40B4-BE49-F238E27FC236}">
              <a16:creationId xmlns="" xmlns:a16="http://schemas.microsoft.com/office/drawing/2014/main" id="{1B90B5B2-447F-4A87-9CB8-2E05F6A7F7E6}"/>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833" name="Text Box 10">
          <a:extLst>
            <a:ext uri="{FF2B5EF4-FFF2-40B4-BE49-F238E27FC236}">
              <a16:creationId xmlns="" xmlns:a16="http://schemas.microsoft.com/office/drawing/2014/main" id="{66494C98-E33B-46CA-A414-84014322CF17}"/>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834" name="Text Box 11">
          <a:extLst>
            <a:ext uri="{FF2B5EF4-FFF2-40B4-BE49-F238E27FC236}">
              <a16:creationId xmlns="" xmlns:a16="http://schemas.microsoft.com/office/drawing/2014/main" id="{7BE5DA48-7775-4579-B5E2-FC6EA1AF4EA6}"/>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835" name="Text Box 12">
          <a:extLst>
            <a:ext uri="{FF2B5EF4-FFF2-40B4-BE49-F238E27FC236}">
              <a16:creationId xmlns="" xmlns:a16="http://schemas.microsoft.com/office/drawing/2014/main" id="{5C9C9FF5-10BF-45F1-A545-11740D52F423}"/>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836" name="Text Box 10">
          <a:extLst>
            <a:ext uri="{FF2B5EF4-FFF2-40B4-BE49-F238E27FC236}">
              <a16:creationId xmlns="" xmlns:a16="http://schemas.microsoft.com/office/drawing/2014/main" id="{D45DD4D8-8707-4E89-B552-59F222E329F1}"/>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837" name="Text Box 11">
          <a:extLst>
            <a:ext uri="{FF2B5EF4-FFF2-40B4-BE49-F238E27FC236}">
              <a16:creationId xmlns="" xmlns:a16="http://schemas.microsoft.com/office/drawing/2014/main" id="{7CAEE3C7-550C-48EC-B963-6162F031402E}"/>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838" name="Text Box 12">
          <a:extLst>
            <a:ext uri="{FF2B5EF4-FFF2-40B4-BE49-F238E27FC236}">
              <a16:creationId xmlns="" xmlns:a16="http://schemas.microsoft.com/office/drawing/2014/main" id="{60C6C2F5-2249-45FD-947D-EFBB60C04973}"/>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839" name="Text Box 10">
          <a:extLst>
            <a:ext uri="{FF2B5EF4-FFF2-40B4-BE49-F238E27FC236}">
              <a16:creationId xmlns="" xmlns:a16="http://schemas.microsoft.com/office/drawing/2014/main" id="{2F0B325B-ACF5-4142-AB30-F097DC89A720}"/>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840" name="Text Box 11">
          <a:extLst>
            <a:ext uri="{FF2B5EF4-FFF2-40B4-BE49-F238E27FC236}">
              <a16:creationId xmlns="" xmlns:a16="http://schemas.microsoft.com/office/drawing/2014/main" id="{2C39E219-4C69-41C8-9688-87A10CB5D627}"/>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841" name="Text Box 12">
          <a:extLst>
            <a:ext uri="{FF2B5EF4-FFF2-40B4-BE49-F238E27FC236}">
              <a16:creationId xmlns="" xmlns:a16="http://schemas.microsoft.com/office/drawing/2014/main" id="{84906302-DE55-4CE7-8D35-E8A263A55C93}"/>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842" name="Text Box 10">
          <a:extLst>
            <a:ext uri="{FF2B5EF4-FFF2-40B4-BE49-F238E27FC236}">
              <a16:creationId xmlns="" xmlns:a16="http://schemas.microsoft.com/office/drawing/2014/main" id="{3913B70B-29AB-46FE-8C81-BD08961E0B21}"/>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843" name="Text Box 11">
          <a:extLst>
            <a:ext uri="{FF2B5EF4-FFF2-40B4-BE49-F238E27FC236}">
              <a16:creationId xmlns="" xmlns:a16="http://schemas.microsoft.com/office/drawing/2014/main" id="{2F9BFB5C-5658-4909-B8EC-50FBF02BE816}"/>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844" name="Text Box 12">
          <a:extLst>
            <a:ext uri="{FF2B5EF4-FFF2-40B4-BE49-F238E27FC236}">
              <a16:creationId xmlns="" xmlns:a16="http://schemas.microsoft.com/office/drawing/2014/main" id="{6847D42A-7E96-469C-B5D7-B4726556CE47}"/>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85725</xdr:colOff>
      <xdr:row>17</xdr:row>
      <xdr:rowOff>75984</xdr:rowOff>
    </xdr:to>
    <xdr:sp macro="" textlink="">
      <xdr:nvSpPr>
        <xdr:cNvPr id="845" name="Text Box 10">
          <a:extLst>
            <a:ext uri="{FF2B5EF4-FFF2-40B4-BE49-F238E27FC236}">
              <a16:creationId xmlns="" xmlns:a16="http://schemas.microsoft.com/office/drawing/2014/main" id="{28123F6C-57D2-48A4-98B4-B05CBC5A2223}"/>
            </a:ext>
          </a:extLst>
        </xdr:cNvPr>
        <xdr:cNvSpPr txBox="1">
          <a:spLocks noChangeArrowheads="1"/>
        </xdr:cNvSpPr>
      </xdr:nvSpPr>
      <xdr:spPr bwMode="auto">
        <a:xfrm>
          <a:off x="4286250" y="2981325"/>
          <a:ext cx="76200" cy="1783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85725</xdr:colOff>
      <xdr:row>17</xdr:row>
      <xdr:rowOff>75984</xdr:rowOff>
    </xdr:to>
    <xdr:sp macro="" textlink="">
      <xdr:nvSpPr>
        <xdr:cNvPr id="846" name="Text Box 11">
          <a:extLst>
            <a:ext uri="{FF2B5EF4-FFF2-40B4-BE49-F238E27FC236}">
              <a16:creationId xmlns="" xmlns:a16="http://schemas.microsoft.com/office/drawing/2014/main" id="{CD3214A3-4AA4-45AB-810F-830243C997EC}"/>
            </a:ext>
          </a:extLst>
        </xdr:cNvPr>
        <xdr:cNvSpPr txBox="1">
          <a:spLocks noChangeArrowheads="1"/>
        </xdr:cNvSpPr>
      </xdr:nvSpPr>
      <xdr:spPr bwMode="auto">
        <a:xfrm>
          <a:off x="4286250" y="2981325"/>
          <a:ext cx="76200" cy="1783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85725</xdr:colOff>
      <xdr:row>17</xdr:row>
      <xdr:rowOff>75984</xdr:rowOff>
    </xdr:to>
    <xdr:sp macro="" textlink="">
      <xdr:nvSpPr>
        <xdr:cNvPr id="847" name="Text Box 12">
          <a:extLst>
            <a:ext uri="{FF2B5EF4-FFF2-40B4-BE49-F238E27FC236}">
              <a16:creationId xmlns="" xmlns:a16="http://schemas.microsoft.com/office/drawing/2014/main" id="{402505F2-C64D-44CC-83EC-5446788A2E10}"/>
            </a:ext>
          </a:extLst>
        </xdr:cNvPr>
        <xdr:cNvSpPr txBox="1">
          <a:spLocks noChangeArrowheads="1"/>
        </xdr:cNvSpPr>
      </xdr:nvSpPr>
      <xdr:spPr bwMode="auto">
        <a:xfrm>
          <a:off x="4286250" y="2981325"/>
          <a:ext cx="76200" cy="1783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848" name="Text Box 10">
          <a:extLst>
            <a:ext uri="{FF2B5EF4-FFF2-40B4-BE49-F238E27FC236}">
              <a16:creationId xmlns="" xmlns:a16="http://schemas.microsoft.com/office/drawing/2014/main" id="{96EC7C81-8E71-4992-83B4-5FFC5A354AEB}"/>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849" name="Text Box 11">
          <a:extLst>
            <a:ext uri="{FF2B5EF4-FFF2-40B4-BE49-F238E27FC236}">
              <a16:creationId xmlns="" xmlns:a16="http://schemas.microsoft.com/office/drawing/2014/main" id="{659C25B1-5578-4601-B91D-1FFDE2C289F8}"/>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850" name="Text Box 12">
          <a:extLst>
            <a:ext uri="{FF2B5EF4-FFF2-40B4-BE49-F238E27FC236}">
              <a16:creationId xmlns="" xmlns:a16="http://schemas.microsoft.com/office/drawing/2014/main" id="{64EF6DA0-C141-47AD-B349-86737064BBD4}"/>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85725</xdr:colOff>
      <xdr:row>17</xdr:row>
      <xdr:rowOff>75984</xdr:rowOff>
    </xdr:to>
    <xdr:sp macro="" textlink="">
      <xdr:nvSpPr>
        <xdr:cNvPr id="851" name="Text Box 10">
          <a:extLst>
            <a:ext uri="{FF2B5EF4-FFF2-40B4-BE49-F238E27FC236}">
              <a16:creationId xmlns="" xmlns:a16="http://schemas.microsoft.com/office/drawing/2014/main" id="{66FF23EC-C0D8-43A0-A6CE-AF8A1B77E060}"/>
            </a:ext>
          </a:extLst>
        </xdr:cNvPr>
        <xdr:cNvSpPr txBox="1">
          <a:spLocks noChangeArrowheads="1"/>
        </xdr:cNvSpPr>
      </xdr:nvSpPr>
      <xdr:spPr bwMode="auto">
        <a:xfrm>
          <a:off x="4286250" y="2981325"/>
          <a:ext cx="76200" cy="1783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85725</xdr:colOff>
      <xdr:row>17</xdr:row>
      <xdr:rowOff>75984</xdr:rowOff>
    </xdr:to>
    <xdr:sp macro="" textlink="">
      <xdr:nvSpPr>
        <xdr:cNvPr id="852" name="Text Box 11">
          <a:extLst>
            <a:ext uri="{FF2B5EF4-FFF2-40B4-BE49-F238E27FC236}">
              <a16:creationId xmlns="" xmlns:a16="http://schemas.microsoft.com/office/drawing/2014/main" id="{77B1D266-FFBB-44E3-91CD-A45D0121C3EB}"/>
            </a:ext>
          </a:extLst>
        </xdr:cNvPr>
        <xdr:cNvSpPr txBox="1">
          <a:spLocks noChangeArrowheads="1"/>
        </xdr:cNvSpPr>
      </xdr:nvSpPr>
      <xdr:spPr bwMode="auto">
        <a:xfrm>
          <a:off x="4286250" y="2981325"/>
          <a:ext cx="76200" cy="1783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85725</xdr:colOff>
      <xdr:row>17</xdr:row>
      <xdr:rowOff>75984</xdr:rowOff>
    </xdr:to>
    <xdr:sp macro="" textlink="">
      <xdr:nvSpPr>
        <xdr:cNvPr id="853" name="Text Box 12">
          <a:extLst>
            <a:ext uri="{FF2B5EF4-FFF2-40B4-BE49-F238E27FC236}">
              <a16:creationId xmlns="" xmlns:a16="http://schemas.microsoft.com/office/drawing/2014/main" id="{D8DEA61D-F7E5-4DEB-9538-3E81CF6A145B}"/>
            </a:ext>
          </a:extLst>
        </xdr:cNvPr>
        <xdr:cNvSpPr txBox="1">
          <a:spLocks noChangeArrowheads="1"/>
        </xdr:cNvSpPr>
      </xdr:nvSpPr>
      <xdr:spPr bwMode="auto">
        <a:xfrm>
          <a:off x="4286250" y="2981325"/>
          <a:ext cx="76200" cy="1783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854" name="Text Box 10">
          <a:extLst>
            <a:ext uri="{FF2B5EF4-FFF2-40B4-BE49-F238E27FC236}">
              <a16:creationId xmlns="" xmlns:a16="http://schemas.microsoft.com/office/drawing/2014/main" id="{98724ABF-BC5B-4D5E-86BC-0B21418B490A}"/>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855" name="Text Box 11">
          <a:extLst>
            <a:ext uri="{FF2B5EF4-FFF2-40B4-BE49-F238E27FC236}">
              <a16:creationId xmlns="" xmlns:a16="http://schemas.microsoft.com/office/drawing/2014/main" id="{5DFBD56F-2605-43CF-B90B-80D97445EED6}"/>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856" name="Text Box 12">
          <a:extLst>
            <a:ext uri="{FF2B5EF4-FFF2-40B4-BE49-F238E27FC236}">
              <a16:creationId xmlns="" xmlns:a16="http://schemas.microsoft.com/office/drawing/2014/main" id="{DCD22025-C4D6-41C6-9397-AC70F477F58D}"/>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857" name="Text Box 10">
          <a:extLst>
            <a:ext uri="{FF2B5EF4-FFF2-40B4-BE49-F238E27FC236}">
              <a16:creationId xmlns="" xmlns:a16="http://schemas.microsoft.com/office/drawing/2014/main" id="{43F1FFE8-95EE-4D34-8914-4D3AAA67FB38}"/>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858" name="Text Box 11">
          <a:extLst>
            <a:ext uri="{FF2B5EF4-FFF2-40B4-BE49-F238E27FC236}">
              <a16:creationId xmlns="" xmlns:a16="http://schemas.microsoft.com/office/drawing/2014/main" id="{C70E0310-5F73-4F35-A284-3E900E6F1C53}"/>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859" name="Text Box 12">
          <a:extLst>
            <a:ext uri="{FF2B5EF4-FFF2-40B4-BE49-F238E27FC236}">
              <a16:creationId xmlns="" xmlns:a16="http://schemas.microsoft.com/office/drawing/2014/main" id="{01B69D2F-3AF7-4F2D-BAE1-C7E7D5C737FE}"/>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860" name="Text Box 10">
          <a:extLst>
            <a:ext uri="{FF2B5EF4-FFF2-40B4-BE49-F238E27FC236}">
              <a16:creationId xmlns="" xmlns:a16="http://schemas.microsoft.com/office/drawing/2014/main" id="{B24E8DB5-312F-4E31-9517-DA7E606D4F3E}"/>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861" name="Text Box 11">
          <a:extLst>
            <a:ext uri="{FF2B5EF4-FFF2-40B4-BE49-F238E27FC236}">
              <a16:creationId xmlns="" xmlns:a16="http://schemas.microsoft.com/office/drawing/2014/main" id="{E4BB550B-5D5F-419D-9C09-DF278BEC5B0D}"/>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862" name="Text Box 12">
          <a:extLst>
            <a:ext uri="{FF2B5EF4-FFF2-40B4-BE49-F238E27FC236}">
              <a16:creationId xmlns="" xmlns:a16="http://schemas.microsoft.com/office/drawing/2014/main" id="{803CA299-0845-4D78-8384-EABC4E7799BE}"/>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863" name="Text Box 10">
          <a:extLst>
            <a:ext uri="{FF2B5EF4-FFF2-40B4-BE49-F238E27FC236}">
              <a16:creationId xmlns="" xmlns:a16="http://schemas.microsoft.com/office/drawing/2014/main" id="{A95B965F-10E9-4FBC-90FC-B66606654729}"/>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864" name="Text Box 11">
          <a:extLst>
            <a:ext uri="{FF2B5EF4-FFF2-40B4-BE49-F238E27FC236}">
              <a16:creationId xmlns="" xmlns:a16="http://schemas.microsoft.com/office/drawing/2014/main" id="{563B890E-34C3-4EA4-922A-B1F4E598EFD8}"/>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865" name="Text Box 12">
          <a:extLst>
            <a:ext uri="{FF2B5EF4-FFF2-40B4-BE49-F238E27FC236}">
              <a16:creationId xmlns="" xmlns:a16="http://schemas.microsoft.com/office/drawing/2014/main" id="{9801518B-2052-4109-8A19-8C177384503F}"/>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866" name="Text Box 10">
          <a:extLst>
            <a:ext uri="{FF2B5EF4-FFF2-40B4-BE49-F238E27FC236}">
              <a16:creationId xmlns="" xmlns:a16="http://schemas.microsoft.com/office/drawing/2014/main" id="{B70295DC-5C07-4FD0-A7F2-479D0FC675CD}"/>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867" name="Text Box 11">
          <a:extLst>
            <a:ext uri="{FF2B5EF4-FFF2-40B4-BE49-F238E27FC236}">
              <a16:creationId xmlns="" xmlns:a16="http://schemas.microsoft.com/office/drawing/2014/main" id="{749A7145-B47E-4CB1-A923-2EBDF1AF821C}"/>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868" name="Text Box 12">
          <a:extLst>
            <a:ext uri="{FF2B5EF4-FFF2-40B4-BE49-F238E27FC236}">
              <a16:creationId xmlns="" xmlns:a16="http://schemas.microsoft.com/office/drawing/2014/main" id="{3CF9D3EE-80FB-4FC2-80FC-78F61E14F21A}"/>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869" name="Text Box 10">
          <a:extLst>
            <a:ext uri="{FF2B5EF4-FFF2-40B4-BE49-F238E27FC236}">
              <a16:creationId xmlns="" xmlns:a16="http://schemas.microsoft.com/office/drawing/2014/main" id="{DF7E0950-E896-4483-824F-3D4E8B075968}"/>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870" name="Text Box 11">
          <a:extLst>
            <a:ext uri="{FF2B5EF4-FFF2-40B4-BE49-F238E27FC236}">
              <a16:creationId xmlns="" xmlns:a16="http://schemas.microsoft.com/office/drawing/2014/main" id="{F1535181-5B6A-477E-A700-C08FF2B1C674}"/>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871" name="Text Box 12">
          <a:extLst>
            <a:ext uri="{FF2B5EF4-FFF2-40B4-BE49-F238E27FC236}">
              <a16:creationId xmlns="" xmlns:a16="http://schemas.microsoft.com/office/drawing/2014/main" id="{BFD0C9EC-AA56-4790-A8C8-9C8BD7ED97E0}"/>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872" name="Text Box 10">
          <a:extLst>
            <a:ext uri="{FF2B5EF4-FFF2-40B4-BE49-F238E27FC236}">
              <a16:creationId xmlns="" xmlns:a16="http://schemas.microsoft.com/office/drawing/2014/main" id="{FF92AC76-350D-4F03-8F9A-98CF07644C2C}"/>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873" name="Text Box 11">
          <a:extLst>
            <a:ext uri="{FF2B5EF4-FFF2-40B4-BE49-F238E27FC236}">
              <a16:creationId xmlns="" xmlns:a16="http://schemas.microsoft.com/office/drawing/2014/main" id="{2BA1DDE6-9E1F-484C-B856-3F26D9A802F1}"/>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874" name="Text Box 12">
          <a:extLst>
            <a:ext uri="{FF2B5EF4-FFF2-40B4-BE49-F238E27FC236}">
              <a16:creationId xmlns="" xmlns:a16="http://schemas.microsoft.com/office/drawing/2014/main" id="{5F7FC0AD-2529-43E0-B947-BF4A25B5EDAA}"/>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875" name="Text Box 10">
          <a:extLst>
            <a:ext uri="{FF2B5EF4-FFF2-40B4-BE49-F238E27FC236}">
              <a16:creationId xmlns="" xmlns:a16="http://schemas.microsoft.com/office/drawing/2014/main" id="{98579300-6F39-495B-BE86-ECA07F506FF4}"/>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876" name="Text Box 11">
          <a:extLst>
            <a:ext uri="{FF2B5EF4-FFF2-40B4-BE49-F238E27FC236}">
              <a16:creationId xmlns="" xmlns:a16="http://schemas.microsoft.com/office/drawing/2014/main" id="{EB87C58E-5062-4B44-960E-21A71251830B}"/>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877" name="Text Box 12">
          <a:extLst>
            <a:ext uri="{FF2B5EF4-FFF2-40B4-BE49-F238E27FC236}">
              <a16:creationId xmlns="" xmlns:a16="http://schemas.microsoft.com/office/drawing/2014/main" id="{69D3A374-6F37-4968-8125-2D92EA25B2DB}"/>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878" name="Text Box 10">
          <a:extLst>
            <a:ext uri="{FF2B5EF4-FFF2-40B4-BE49-F238E27FC236}">
              <a16:creationId xmlns="" xmlns:a16="http://schemas.microsoft.com/office/drawing/2014/main" id="{ADDDA94B-668C-41FD-8FCC-90200CC76FBE}"/>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879" name="Text Box 11">
          <a:extLst>
            <a:ext uri="{FF2B5EF4-FFF2-40B4-BE49-F238E27FC236}">
              <a16:creationId xmlns="" xmlns:a16="http://schemas.microsoft.com/office/drawing/2014/main" id="{0EF9A657-A6B9-41D0-9653-D1DE333DBFCB}"/>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880" name="Text Box 12">
          <a:extLst>
            <a:ext uri="{FF2B5EF4-FFF2-40B4-BE49-F238E27FC236}">
              <a16:creationId xmlns="" xmlns:a16="http://schemas.microsoft.com/office/drawing/2014/main" id="{47495012-B3D4-4820-A6A9-489A8F1F11B8}"/>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881" name="Text Box 10">
          <a:extLst>
            <a:ext uri="{FF2B5EF4-FFF2-40B4-BE49-F238E27FC236}">
              <a16:creationId xmlns="" xmlns:a16="http://schemas.microsoft.com/office/drawing/2014/main" id="{BFF2E8D1-5F27-447F-8DC5-D03ABA59B6AA}"/>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882" name="Text Box 11">
          <a:extLst>
            <a:ext uri="{FF2B5EF4-FFF2-40B4-BE49-F238E27FC236}">
              <a16:creationId xmlns="" xmlns:a16="http://schemas.microsoft.com/office/drawing/2014/main" id="{D19B1245-49CD-4BBF-A5B3-FF7FEF20006A}"/>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883" name="Text Box 12">
          <a:extLst>
            <a:ext uri="{FF2B5EF4-FFF2-40B4-BE49-F238E27FC236}">
              <a16:creationId xmlns="" xmlns:a16="http://schemas.microsoft.com/office/drawing/2014/main" id="{213F35EB-64B8-407D-9E0E-E281827EE7CE}"/>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85725</xdr:colOff>
      <xdr:row>17</xdr:row>
      <xdr:rowOff>75984</xdr:rowOff>
    </xdr:to>
    <xdr:sp macro="" textlink="">
      <xdr:nvSpPr>
        <xdr:cNvPr id="884" name="Text Box 10">
          <a:extLst>
            <a:ext uri="{FF2B5EF4-FFF2-40B4-BE49-F238E27FC236}">
              <a16:creationId xmlns="" xmlns:a16="http://schemas.microsoft.com/office/drawing/2014/main" id="{ADBF4B91-5D06-4251-AF4B-7EB5B6C8031E}"/>
            </a:ext>
          </a:extLst>
        </xdr:cNvPr>
        <xdr:cNvSpPr txBox="1">
          <a:spLocks noChangeArrowheads="1"/>
        </xdr:cNvSpPr>
      </xdr:nvSpPr>
      <xdr:spPr bwMode="auto">
        <a:xfrm>
          <a:off x="4286250" y="2981325"/>
          <a:ext cx="76200" cy="1783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85725</xdr:colOff>
      <xdr:row>17</xdr:row>
      <xdr:rowOff>75984</xdr:rowOff>
    </xdr:to>
    <xdr:sp macro="" textlink="">
      <xdr:nvSpPr>
        <xdr:cNvPr id="885" name="Text Box 11">
          <a:extLst>
            <a:ext uri="{FF2B5EF4-FFF2-40B4-BE49-F238E27FC236}">
              <a16:creationId xmlns="" xmlns:a16="http://schemas.microsoft.com/office/drawing/2014/main" id="{0CAE0C7A-7C7C-4A23-AF4E-9668EEB3DFCB}"/>
            </a:ext>
          </a:extLst>
        </xdr:cNvPr>
        <xdr:cNvSpPr txBox="1">
          <a:spLocks noChangeArrowheads="1"/>
        </xdr:cNvSpPr>
      </xdr:nvSpPr>
      <xdr:spPr bwMode="auto">
        <a:xfrm>
          <a:off x="4286250" y="2981325"/>
          <a:ext cx="76200" cy="1783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85725</xdr:colOff>
      <xdr:row>17</xdr:row>
      <xdr:rowOff>75984</xdr:rowOff>
    </xdr:to>
    <xdr:sp macro="" textlink="">
      <xdr:nvSpPr>
        <xdr:cNvPr id="886" name="Text Box 12">
          <a:extLst>
            <a:ext uri="{FF2B5EF4-FFF2-40B4-BE49-F238E27FC236}">
              <a16:creationId xmlns="" xmlns:a16="http://schemas.microsoft.com/office/drawing/2014/main" id="{9A9E8003-26AC-4891-A170-DFB65A35B5AF}"/>
            </a:ext>
          </a:extLst>
        </xdr:cNvPr>
        <xdr:cNvSpPr txBox="1">
          <a:spLocks noChangeArrowheads="1"/>
        </xdr:cNvSpPr>
      </xdr:nvSpPr>
      <xdr:spPr bwMode="auto">
        <a:xfrm>
          <a:off x="4286250" y="2981325"/>
          <a:ext cx="76200" cy="1783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85725</xdr:colOff>
      <xdr:row>17</xdr:row>
      <xdr:rowOff>75984</xdr:rowOff>
    </xdr:to>
    <xdr:sp macro="" textlink="">
      <xdr:nvSpPr>
        <xdr:cNvPr id="887" name="Text Box 10">
          <a:extLst>
            <a:ext uri="{FF2B5EF4-FFF2-40B4-BE49-F238E27FC236}">
              <a16:creationId xmlns="" xmlns:a16="http://schemas.microsoft.com/office/drawing/2014/main" id="{DA1F4EC1-D329-451D-A4D2-5E6FBB04049E}"/>
            </a:ext>
          </a:extLst>
        </xdr:cNvPr>
        <xdr:cNvSpPr txBox="1">
          <a:spLocks noChangeArrowheads="1"/>
        </xdr:cNvSpPr>
      </xdr:nvSpPr>
      <xdr:spPr bwMode="auto">
        <a:xfrm>
          <a:off x="4286250" y="2981325"/>
          <a:ext cx="76200" cy="1783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85725</xdr:colOff>
      <xdr:row>17</xdr:row>
      <xdr:rowOff>75984</xdr:rowOff>
    </xdr:to>
    <xdr:sp macro="" textlink="">
      <xdr:nvSpPr>
        <xdr:cNvPr id="888" name="Text Box 11">
          <a:extLst>
            <a:ext uri="{FF2B5EF4-FFF2-40B4-BE49-F238E27FC236}">
              <a16:creationId xmlns="" xmlns:a16="http://schemas.microsoft.com/office/drawing/2014/main" id="{A412D118-BA1B-4928-9BB5-F23361A676EC}"/>
            </a:ext>
          </a:extLst>
        </xdr:cNvPr>
        <xdr:cNvSpPr txBox="1">
          <a:spLocks noChangeArrowheads="1"/>
        </xdr:cNvSpPr>
      </xdr:nvSpPr>
      <xdr:spPr bwMode="auto">
        <a:xfrm>
          <a:off x="4286250" y="2981325"/>
          <a:ext cx="76200" cy="1783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85725</xdr:colOff>
      <xdr:row>17</xdr:row>
      <xdr:rowOff>75984</xdr:rowOff>
    </xdr:to>
    <xdr:sp macro="" textlink="">
      <xdr:nvSpPr>
        <xdr:cNvPr id="889" name="Text Box 12">
          <a:extLst>
            <a:ext uri="{FF2B5EF4-FFF2-40B4-BE49-F238E27FC236}">
              <a16:creationId xmlns="" xmlns:a16="http://schemas.microsoft.com/office/drawing/2014/main" id="{349A8E17-7878-4780-AE9C-63242814B53D}"/>
            </a:ext>
          </a:extLst>
        </xdr:cNvPr>
        <xdr:cNvSpPr txBox="1">
          <a:spLocks noChangeArrowheads="1"/>
        </xdr:cNvSpPr>
      </xdr:nvSpPr>
      <xdr:spPr bwMode="auto">
        <a:xfrm>
          <a:off x="4286250" y="2981325"/>
          <a:ext cx="76200" cy="1783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890" name="Text Box 10">
          <a:extLst>
            <a:ext uri="{FF2B5EF4-FFF2-40B4-BE49-F238E27FC236}">
              <a16:creationId xmlns="" xmlns:a16="http://schemas.microsoft.com/office/drawing/2014/main" id="{D7B3D797-5126-491F-B2E6-748DD0F6D476}"/>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891" name="Text Box 11">
          <a:extLst>
            <a:ext uri="{FF2B5EF4-FFF2-40B4-BE49-F238E27FC236}">
              <a16:creationId xmlns="" xmlns:a16="http://schemas.microsoft.com/office/drawing/2014/main" id="{EACFE392-0D32-4A66-BB65-BA44536D59D3}"/>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892" name="Text Box 12">
          <a:extLst>
            <a:ext uri="{FF2B5EF4-FFF2-40B4-BE49-F238E27FC236}">
              <a16:creationId xmlns="" xmlns:a16="http://schemas.microsoft.com/office/drawing/2014/main" id="{10AA562D-0013-4C6A-A9C7-D1F60B5C6853}"/>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893" name="Text Box 10">
          <a:extLst>
            <a:ext uri="{FF2B5EF4-FFF2-40B4-BE49-F238E27FC236}">
              <a16:creationId xmlns="" xmlns:a16="http://schemas.microsoft.com/office/drawing/2014/main" id="{2B23EF2E-7D04-4044-9027-63D388903581}"/>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894" name="Text Box 11">
          <a:extLst>
            <a:ext uri="{FF2B5EF4-FFF2-40B4-BE49-F238E27FC236}">
              <a16:creationId xmlns="" xmlns:a16="http://schemas.microsoft.com/office/drawing/2014/main" id="{DFB69A4D-813F-461D-9F3E-B183BD27BE86}"/>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895" name="Text Box 12">
          <a:extLst>
            <a:ext uri="{FF2B5EF4-FFF2-40B4-BE49-F238E27FC236}">
              <a16:creationId xmlns="" xmlns:a16="http://schemas.microsoft.com/office/drawing/2014/main" id="{7E931EB1-74A9-49BD-B572-322BB858D067}"/>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896" name="Text Box 10">
          <a:extLst>
            <a:ext uri="{FF2B5EF4-FFF2-40B4-BE49-F238E27FC236}">
              <a16:creationId xmlns="" xmlns:a16="http://schemas.microsoft.com/office/drawing/2014/main" id="{5BA685B4-A89C-455E-8035-338E7FCFA64F}"/>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897" name="Text Box 11">
          <a:extLst>
            <a:ext uri="{FF2B5EF4-FFF2-40B4-BE49-F238E27FC236}">
              <a16:creationId xmlns="" xmlns:a16="http://schemas.microsoft.com/office/drawing/2014/main" id="{CAB7B00F-0B93-42DB-8647-54E59192F928}"/>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898" name="Text Box 12">
          <a:extLst>
            <a:ext uri="{FF2B5EF4-FFF2-40B4-BE49-F238E27FC236}">
              <a16:creationId xmlns="" xmlns:a16="http://schemas.microsoft.com/office/drawing/2014/main" id="{B294642C-1BB6-4A75-BD02-F6CF601B4861}"/>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899" name="Text Box 10">
          <a:extLst>
            <a:ext uri="{FF2B5EF4-FFF2-40B4-BE49-F238E27FC236}">
              <a16:creationId xmlns="" xmlns:a16="http://schemas.microsoft.com/office/drawing/2014/main" id="{8807D51A-E4D0-48EF-810D-AB818A37DE67}"/>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900" name="Text Box 11">
          <a:extLst>
            <a:ext uri="{FF2B5EF4-FFF2-40B4-BE49-F238E27FC236}">
              <a16:creationId xmlns="" xmlns:a16="http://schemas.microsoft.com/office/drawing/2014/main" id="{D0CEAC94-5FB3-4835-8188-61F32141CF0E}"/>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901" name="Text Box 12">
          <a:extLst>
            <a:ext uri="{FF2B5EF4-FFF2-40B4-BE49-F238E27FC236}">
              <a16:creationId xmlns="" xmlns:a16="http://schemas.microsoft.com/office/drawing/2014/main" id="{0BDF67D4-22B1-4BF2-91FB-9C924E0795B5}"/>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902" name="Text Box 10">
          <a:extLst>
            <a:ext uri="{FF2B5EF4-FFF2-40B4-BE49-F238E27FC236}">
              <a16:creationId xmlns="" xmlns:a16="http://schemas.microsoft.com/office/drawing/2014/main" id="{E6D21B29-F6C0-40A3-B9C0-9EAA80808625}"/>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903" name="Text Box 11">
          <a:extLst>
            <a:ext uri="{FF2B5EF4-FFF2-40B4-BE49-F238E27FC236}">
              <a16:creationId xmlns="" xmlns:a16="http://schemas.microsoft.com/office/drawing/2014/main" id="{07F16CAB-8A86-4415-A5CC-B13BF1B1F109}"/>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904" name="Text Box 12">
          <a:extLst>
            <a:ext uri="{FF2B5EF4-FFF2-40B4-BE49-F238E27FC236}">
              <a16:creationId xmlns="" xmlns:a16="http://schemas.microsoft.com/office/drawing/2014/main" id="{6C100121-900A-44CF-B258-57D5AC5F31C0}"/>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905" name="Text Box 10">
          <a:extLst>
            <a:ext uri="{FF2B5EF4-FFF2-40B4-BE49-F238E27FC236}">
              <a16:creationId xmlns="" xmlns:a16="http://schemas.microsoft.com/office/drawing/2014/main" id="{C36EEAEF-3AD4-46AA-A680-091BB1C534C8}"/>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906" name="Text Box 11">
          <a:extLst>
            <a:ext uri="{FF2B5EF4-FFF2-40B4-BE49-F238E27FC236}">
              <a16:creationId xmlns="" xmlns:a16="http://schemas.microsoft.com/office/drawing/2014/main" id="{8969C7B9-3CBF-4FC8-ABAE-F4CA97948683}"/>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907" name="Text Box 12">
          <a:extLst>
            <a:ext uri="{FF2B5EF4-FFF2-40B4-BE49-F238E27FC236}">
              <a16:creationId xmlns="" xmlns:a16="http://schemas.microsoft.com/office/drawing/2014/main" id="{79FC961B-A906-4E1A-B7CE-2FC027B9B0E2}"/>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908" name="Text Box 10">
          <a:extLst>
            <a:ext uri="{FF2B5EF4-FFF2-40B4-BE49-F238E27FC236}">
              <a16:creationId xmlns="" xmlns:a16="http://schemas.microsoft.com/office/drawing/2014/main" id="{E45F3359-B66A-4D18-B698-419F8F4677EA}"/>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909" name="Text Box 11">
          <a:extLst>
            <a:ext uri="{FF2B5EF4-FFF2-40B4-BE49-F238E27FC236}">
              <a16:creationId xmlns="" xmlns:a16="http://schemas.microsoft.com/office/drawing/2014/main" id="{101158A8-7EAB-43D0-9B55-5827AD5C31FB}"/>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910" name="Text Box 12">
          <a:extLst>
            <a:ext uri="{FF2B5EF4-FFF2-40B4-BE49-F238E27FC236}">
              <a16:creationId xmlns="" xmlns:a16="http://schemas.microsoft.com/office/drawing/2014/main" id="{14416DC6-A2C4-43E0-9FFA-53D2B1C444B8}"/>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911" name="Text Box 10">
          <a:extLst>
            <a:ext uri="{FF2B5EF4-FFF2-40B4-BE49-F238E27FC236}">
              <a16:creationId xmlns="" xmlns:a16="http://schemas.microsoft.com/office/drawing/2014/main" id="{973249DB-3845-4082-A6AE-D2D8151BC3C6}"/>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912" name="Text Box 11">
          <a:extLst>
            <a:ext uri="{FF2B5EF4-FFF2-40B4-BE49-F238E27FC236}">
              <a16:creationId xmlns="" xmlns:a16="http://schemas.microsoft.com/office/drawing/2014/main" id="{1EBCB31B-89F8-4146-AEB4-273E71C30C59}"/>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913" name="Text Box 12">
          <a:extLst>
            <a:ext uri="{FF2B5EF4-FFF2-40B4-BE49-F238E27FC236}">
              <a16:creationId xmlns="" xmlns:a16="http://schemas.microsoft.com/office/drawing/2014/main" id="{C85507B1-530E-4F0E-B6CF-43DD30792AD4}"/>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914" name="Text Box 10">
          <a:extLst>
            <a:ext uri="{FF2B5EF4-FFF2-40B4-BE49-F238E27FC236}">
              <a16:creationId xmlns="" xmlns:a16="http://schemas.microsoft.com/office/drawing/2014/main" id="{E2E513E7-67A2-4D4A-9516-79683CA5EEED}"/>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915" name="Text Box 11">
          <a:extLst>
            <a:ext uri="{FF2B5EF4-FFF2-40B4-BE49-F238E27FC236}">
              <a16:creationId xmlns="" xmlns:a16="http://schemas.microsoft.com/office/drawing/2014/main" id="{FF4242CF-AADF-48F5-9D30-22ACFEAB525D}"/>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916" name="Text Box 12">
          <a:extLst>
            <a:ext uri="{FF2B5EF4-FFF2-40B4-BE49-F238E27FC236}">
              <a16:creationId xmlns="" xmlns:a16="http://schemas.microsoft.com/office/drawing/2014/main" id="{CDA9FF96-A511-4404-91D6-0E1B73E2C401}"/>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917" name="Text Box 10">
          <a:extLst>
            <a:ext uri="{FF2B5EF4-FFF2-40B4-BE49-F238E27FC236}">
              <a16:creationId xmlns="" xmlns:a16="http://schemas.microsoft.com/office/drawing/2014/main" id="{FE813520-CAA8-4129-84A7-9F359366712D}"/>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918" name="Text Box 11">
          <a:extLst>
            <a:ext uri="{FF2B5EF4-FFF2-40B4-BE49-F238E27FC236}">
              <a16:creationId xmlns="" xmlns:a16="http://schemas.microsoft.com/office/drawing/2014/main" id="{0B2AAE83-1E5F-4B0C-9232-797C8669E9D2}"/>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919" name="Text Box 12">
          <a:extLst>
            <a:ext uri="{FF2B5EF4-FFF2-40B4-BE49-F238E27FC236}">
              <a16:creationId xmlns="" xmlns:a16="http://schemas.microsoft.com/office/drawing/2014/main" id="{B3F6B453-BD03-4130-A2BE-FC6C00BAFAC8}"/>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920" name="Text Box 10">
          <a:extLst>
            <a:ext uri="{FF2B5EF4-FFF2-40B4-BE49-F238E27FC236}">
              <a16:creationId xmlns="" xmlns:a16="http://schemas.microsoft.com/office/drawing/2014/main" id="{6FC2CED6-759E-46BA-9457-C54F5F865CBA}"/>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921" name="Text Box 11">
          <a:extLst>
            <a:ext uri="{FF2B5EF4-FFF2-40B4-BE49-F238E27FC236}">
              <a16:creationId xmlns="" xmlns:a16="http://schemas.microsoft.com/office/drawing/2014/main" id="{9D43F959-B00B-42E6-AFB8-6A97B6078F58}"/>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922" name="Text Box 12">
          <a:extLst>
            <a:ext uri="{FF2B5EF4-FFF2-40B4-BE49-F238E27FC236}">
              <a16:creationId xmlns="" xmlns:a16="http://schemas.microsoft.com/office/drawing/2014/main" id="{9A7D45AA-BA6B-4DBF-AAAB-615A058940C3}"/>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923" name="Text Box 10">
          <a:extLst>
            <a:ext uri="{FF2B5EF4-FFF2-40B4-BE49-F238E27FC236}">
              <a16:creationId xmlns="" xmlns:a16="http://schemas.microsoft.com/office/drawing/2014/main" id="{DFDFF3E8-7995-40FF-B873-2892CA81A853}"/>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924" name="Text Box 11">
          <a:extLst>
            <a:ext uri="{FF2B5EF4-FFF2-40B4-BE49-F238E27FC236}">
              <a16:creationId xmlns="" xmlns:a16="http://schemas.microsoft.com/office/drawing/2014/main" id="{FB6F5517-7FDE-4396-AD3C-8C8E6F362BE2}"/>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925" name="Text Box 12">
          <a:extLst>
            <a:ext uri="{FF2B5EF4-FFF2-40B4-BE49-F238E27FC236}">
              <a16:creationId xmlns="" xmlns:a16="http://schemas.microsoft.com/office/drawing/2014/main" id="{84EFB3D6-EA2F-4781-9BF2-171554A03F82}"/>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926" name="Text Box 10">
          <a:extLst>
            <a:ext uri="{FF2B5EF4-FFF2-40B4-BE49-F238E27FC236}">
              <a16:creationId xmlns="" xmlns:a16="http://schemas.microsoft.com/office/drawing/2014/main" id="{6AFC67C2-0E19-451A-ABD8-7DEEB44304B4}"/>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927" name="Text Box 11">
          <a:extLst>
            <a:ext uri="{FF2B5EF4-FFF2-40B4-BE49-F238E27FC236}">
              <a16:creationId xmlns="" xmlns:a16="http://schemas.microsoft.com/office/drawing/2014/main" id="{08F1ACE8-F85E-49FD-BC6C-4F1C648195A9}"/>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928" name="Text Box 12">
          <a:extLst>
            <a:ext uri="{FF2B5EF4-FFF2-40B4-BE49-F238E27FC236}">
              <a16:creationId xmlns="" xmlns:a16="http://schemas.microsoft.com/office/drawing/2014/main" id="{33FE4F1C-22D3-4E12-9F7A-74D5E5858D50}"/>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929" name="Text Box 10">
          <a:extLst>
            <a:ext uri="{FF2B5EF4-FFF2-40B4-BE49-F238E27FC236}">
              <a16:creationId xmlns="" xmlns:a16="http://schemas.microsoft.com/office/drawing/2014/main" id="{0B163CAA-7BD2-4C5E-A633-650C7554BE85}"/>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930" name="Text Box 11">
          <a:extLst>
            <a:ext uri="{FF2B5EF4-FFF2-40B4-BE49-F238E27FC236}">
              <a16:creationId xmlns="" xmlns:a16="http://schemas.microsoft.com/office/drawing/2014/main" id="{87BE0F00-20BF-412B-89D0-7355AE7F3DD5}"/>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931" name="Text Box 12">
          <a:extLst>
            <a:ext uri="{FF2B5EF4-FFF2-40B4-BE49-F238E27FC236}">
              <a16:creationId xmlns="" xmlns:a16="http://schemas.microsoft.com/office/drawing/2014/main" id="{E16BA780-92B8-4157-974A-29FC2A62CEEC}"/>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932" name="Text Box 10">
          <a:extLst>
            <a:ext uri="{FF2B5EF4-FFF2-40B4-BE49-F238E27FC236}">
              <a16:creationId xmlns="" xmlns:a16="http://schemas.microsoft.com/office/drawing/2014/main" id="{2FBAF552-7741-4E19-82AE-FB9229788E43}"/>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933" name="Text Box 11">
          <a:extLst>
            <a:ext uri="{FF2B5EF4-FFF2-40B4-BE49-F238E27FC236}">
              <a16:creationId xmlns="" xmlns:a16="http://schemas.microsoft.com/office/drawing/2014/main" id="{D6D3840C-24C6-4D8E-8EB6-37EEA1B79F0C}"/>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934" name="Text Box 12">
          <a:extLst>
            <a:ext uri="{FF2B5EF4-FFF2-40B4-BE49-F238E27FC236}">
              <a16:creationId xmlns="" xmlns:a16="http://schemas.microsoft.com/office/drawing/2014/main" id="{7F506124-1B3D-4014-A9F5-E14DDAF46E4D}"/>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935" name="Text Box 10">
          <a:extLst>
            <a:ext uri="{FF2B5EF4-FFF2-40B4-BE49-F238E27FC236}">
              <a16:creationId xmlns="" xmlns:a16="http://schemas.microsoft.com/office/drawing/2014/main" id="{4E854186-9312-4CEF-B1CE-C61780035827}"/>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936" name="Text Box 11">
          <a:extLst>
            <a:ext uri="{FF2B5EF4-FFF2-40B4-BE49-F238E27FC236}">
              <a16:creationId xmlns="" xmlns:a16="http://schemas.microsoft.com/office/drawing/2014/main" id="{F7D16330-F0E3-494F-A1F2-A4E1D99AD960}"/>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937" name="Text Box 12">
          <a:extLst>
            <a:ext uri="{FF2B5EF4-FFF2-40B4-BE49-F238E27FC236}">
              <a16:creationId xmlns="" xmlns:a16="http://schemas.microsoft.com/office/drawing/2014/main" id="{11AECAF2-1864-487F-8BC7-E8339ACE59F4}"/>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938" name="Text Box 10">
          <a:extLst>
            <a:ext uri="{FF2B5EF4-FFF2-40B4-BE49-F238E27FC236}">
              <a16:creationId xmlns="" xmlns:a16="http://schemas.microsoft.com/office/drawing/2014/main" id="{EA58949E-5EEF-4E79-B229-0F12D87009B2}"/>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939" name="Text Box 11">
          <a:extLst>
            <a:ext uri="{FF2B5EF4-FFF2-40B4-BE49-F238E27FC236}">
              <a16:creationId xmlns="" xmlns:a16="http://schemas.microsoft.com/office/drawing/2014/main" id="{38F88E6F-FE5D-4085-AB3C-AC769482D261}"/>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940" name="Text Box 12">
          <a:extLst>
            <a:ext uri="{FF2B5EF4-FFF2-40B4-BE49-F238E27FC236}">
              <a16:creationId xmlns="" xmlns:a16="http://schemas.microsoft.com/office/drawing/2014/main" id="{986374A9-D5E7-4004-926A-9A12E1F20B8A}"/>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941" name="Text Box 10">
          <a:extLst>
            <a:ext uri="{FF2B5EF4-FFF2-40B4-BE49-F238E27FC236}">
              <a16:creationId xmlns="" xmlns:a16="http://schemas.microsoft.com/office/drawing/2014/main" id="{98B3929C-5DB2-467C-805E-C386F4D16B05}"/>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942" name="Text Box 11">
          <a:extLst>
            <a:ext uri="{FF2B5EF4-FFF2-40B4-BE49-F238E27FC236}">
              <a16:creationId xmlns="" xmlns:a16="http://schemas.microsoft.com/office/drawing/2014/main" id="{6B6B8115-E2FB-4B72-89BE-CC369588C34E}"/>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943" name="Text Box 12">
          <a:extLst>
            <a:ext uri="{FF2B5EF4-FFF2-40B4-BE49-F238E27FC236}">
              <a16:creationId xmlns="" xmlns:a16="http://schemas.microsoft.com/office/drawing/2014/main" id="{B8C1452D-097D-41C1-B84D-8721C73D1854}"/>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944" name="Text Box 10">
          <a:extLst>
            <a:ext uri="{FF2B5EF4-FFF2-40B4-BE49-F238E27FC236}">
              <a16:creationId xmlns="" xmlns:a16="http://schemas.microsoft.com/office/drawing/2014/main" id="{3A9FFD90-A441-4E03-9300-88D0F3844AB5}"/>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945" name="Text Box 11">
          <a:extLst>
            <a:ext uri="{FF2B5EF4-FFF2-40B4-BE49-F238E27FC236}">
              <a16:creationId xmlns="" xmlns:a16="http://schemas.microsoft.com/office/drawing/2014/main" id="{9229C538-A259-4FA2-8788-AEDAA19E4016}"/>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946" name="Text Box 12">
          <a:extLst>
            <a:ext uri="{FF2B5EF4-FFF2-40B4-BE49-F238E27FC236}">
              <a16:creationId xmlns="" xmlns:a16="http://schemas.microsoft.com/office/drawing/2014/main" id="{10EEFCAE-BB85-4742-83D5-E58894A6F129}"/>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947" name="Text Box 10">
          <a:extLst>
            <a:ext uri="{FF2B5EF4-FFF2-40B4-BE49-F238E27FC236}">
              <a16:creationId xmlns="" xmlns:a16="http://schemas.microsoft.com/office/drawing/2014/main" id="{3DCA806F-4FC8-4C45-8FCF-34FB88160500}"/>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948" name="Text Box 11">
          <a:extLst>
            <a:ext uri="{FF2B5EF4-FFF2-40B4-BE49-F238E27FC236}">
              <a16:creationId xmlns="" xmlns:a16="http://schemas.microsoft.com/office/drawing/2014/main" id="{B2000F60-1D92-4C69-9726-BFFAEAFE5791}"/>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949" name="Text Box 12">
          <a:extLst>
            <a:ext uri="{FF2B5EF4-FFF2-40B4-BE49-F238E27FC236}">
              <a16:creationId xmlns="" xmlns:a16="http://schemas.microsoft.com/office/drawing/2014/main" id="{BAD3C82D-FA38-4C0E-A8C1-A3E3B1D7D8D2}"/>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950" name="Text Box 10">
          <a:extLst>
            <a:ext uri="{FF2B5EF4-FFF2-40B4-BE49-F238E27FC236}">
              <a16:creationId xmlns="" xmlns:a16="http://schemas.microsoft.com/office/drawing/2014/main" id="{1DB07D35-22FB-46FD-9E70-A44A9226C63B}"/>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951" name="Text Box 11">
          <a:extLst>
            <a:ext uri="{FF2B5EF4-FFF2-40B4-BE49-F238E27FC236}">
              <a16:creationId xmlns="" xmlns:a16="http://schemas.microsoft.com/office/drawing/2014/main" id="{4029B08D-FB44-40B0-8C6D-028FC61A82F9}"/>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952" name="Text Box 12">
          <a:extLst>
            <a:ext uri="{FF2B5EF4-FFF2-40B4-BE49-F238E27FC236}">
              <a16:creationId xmlns="" xmlns:a16="http://schemas.microsoft.com/office/drawing/2014/main" id="{00E4FD57-0968-4B0C-95F8-A988299F1A43}"/>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953" name="Text Box 10">
          <a:extLst>
            <a:ext uri="{FF2B5EF4-FFF2-40B4-BE49-F238E27FC236}">
              <a16:creationId xmlns="" xmlns:a16="http://schemas.microsoft.com/office/drawing/2014/main" id="{CBFAA335-C8BB-46A4-A950-D1FDAE999436}"/>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954" name="Text Box 11">
          <a:extLst>
            <a:ext uri="{FF2B5EF4-FFF2-40B4-BE49-F238E27FC236}">
              <a16:creationId xmlns="" xmlns:a16="http://schemas.microsoft.com/office/drawing/2014/main" id="{291C97C2-B7F0-4BCF-BB81-D327948AE0A9}"/>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955" name="Text Box 12">
          <a:extLst>
            <a:ext uri="{FF2B5EF4-FFF2-40B4-BE49-F238E27FC236}">
              <a16:creationId xmlns="" xmlns:a16="http://schemas.microsoft.com/office/drawing/2014/main" id="{F8757CAD-DCFC-4637-9A24-554824CE77E1}"/>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956" name="Text Box 10">
          <a:extLst>
            <a:ext uri="{FF2B5EF4-FFF2-40B4-BE49-F238E27FC236}">
              <a16:creationId xmlns="" xmlns:a16="http://schemas.microsoft.com/office/drawing/2014/main" id="{FC1F2C47-4D41-483B-8BE4-59F27D468E5B}"/>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957" name="Text Box 11">
          <a:extLst>
            <a:ext uri="{FF2B5EF4-FFF2-40B4-BE49-F238E27FC236}">
              <a16:creationId xmlns="" xmlns:a16="http://schemas.microsoft.com/office/drawing/2014/main" id="{F25BDDD1-FB99-4710-AC35-AA1E6360C4C4}"/>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958" name="Text Box 12">
          <a:extLst>
            <a:ext uri="{FF2B5EF4-FFF2-40B4-BE49-F238E27FC236}">
              <a16:creationId xmlns="" xmlns:a16="http://schemas.microsoft.com/office/drawing/2014/main" id="{69C6CE0E-E9F1-4A48-9AC4-83FC9DBADF49}"/>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959" name="Text Box 10">
          <a:extLst>
            <a:ext uri="{FF2B5EF4-FFF2-40B4-BE49-F238E27FC236}">
              <a16:creationId xmlns="" xmlns:a16="http://schemas.microsoft.com/office/drawing/2014/main" id="{3A79D6D0-8E68-42AF-B8D4-8FF8FD7598F6}"/>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960" name="Text Box 11">
          <a:extLst>
            <a:ext uri="{FF2B5EF4-FFF2-40B4-BE49-F238E27FC236}">
              <a16:creationId xmlns="" xmlns:a16="http://schemas.microsoft.com/office/drawing/2014/main" id="{1AD9FA77-B557-4056-8EE1-66CA0ADC60D9}"/>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961" name="Text Box 12">
          <a:extLst>
            <a:ext uri="{FF2B5EF4-FFF2-40B4-BE49-F238E27FC236}">
              <a16:creationId xmlns="" xmlns:a16="http://schemas.microsoft.com/office/drawing/2014/main" id="{7C8D9724-4374-4295-BD1F-43DE18BB4908}"/>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962" name="Text Box 10">
          <a:extLst>
            <a:ext uri="{FF2B5EF4-FFF2-40B4-BE49-F238E27FC236}">
              <a16:creationId xmlns="" xmlns:a16="http://schemas.microsoft.com/office/drawing/2014/main" id="{E8CB67FB-3E06-467F-8392-65495AD6099C}"/>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963" name="Text Box 11">
          <a:extLst>
            <a:ext uri="{FF2B5EF4-FFF2-40B4-BE49-F238E27FC236}">
              <a16:creationId xmlns="" xmlns:a16="http://schemas.microsoft.com/office/drawing/2014/main" id="{8C0CCAEB-5C71-4F76-89F6-B816EE425A8C}"/>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964" name="Text Box 12">
          <a:extLst>
            <a:ext uri="{FF2B5EF4-FFF2-40B4-BE49-F238E27FC236}">
              <a16:creationId xmlns="" xmlns:a16="http://schemas.microsoft.com/office/drawing/2014/main" id="{500A1293-5BC7-4CB9-999F-54E98C50B95D}"/>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965" name="Text Box 10">
          <a:extLst>
            <a:ext uri="{FF2B5EF4-FFF2-40B4-BE49-F238E27FC236}">
              <a16:creationId xmlns="" xmlns:a16="http://schemas.microsoft.com/office/drawing/2014/main" id="{D4988BBE-EA0A-4590-9AE9-CA9E587CAEE8}"/>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966" name="Text Box 11">
          <a:extLst>
            <a:ext uri="{FF2B5EF4-FFF2-40B4-BE49-F238E27FC236}">
              <a16:creationId xmlns="" xmlns:a16="http://schemas.microsoft.com/office/drawing/2014/main" id="{6BA47502-B43C-43E6-BDA0-C338FCC6C0BD}"/>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967" name="Text Box 12">
          <a:extLst>
            <a:ext uri="{FF2B5EF4-FFF2-40B4-BE49-F238E27FC236}">
              <a16:creationId xmlns="" xmlns:a16="http://schemas.microsoft.com/office/drawing/2014/main" id="{AD122A15-F733-40BE-BAC6-F842305E1BDA}"/>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968" name="Text Box 10">
          <a:extLst>
            <a:ext uri="{FF2B5EF4-FFF2-40B4-BE49-F238E27FC236}">
              <a16:creationId xmlns="" xmlns:a16="http://schemas.microsoft.com/office/drawing/2014/main" id="{5E97EE80-BF52-469F-B467-4F38716EB70A}"/>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969" name="Text Box 11">
          <a:extLst>
            <a:ext uri="{FF2B5EF4-FFF2-40B4-BE49-F238E27FC236}">
              <a16:creationId xmlns="" xmlns:a16="http://schemas.microsoft.com/office/drawing/2014/main" id="{7A2F0278-82F0-4249-B2D4-72E8999B3EC8}"/>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970" name="Text Box 12">
          <a:extLst>
            <a:ext uri="{FF2B5EF4-FFF2-40B4-BE49-F238E27FC236}">
              <a16:creationId xmlns="" xmlns:a16="http://schemas.microsoft.com/office/drawing/2014/main" id="{668FE107-46B1-4C26-AEAE-65864EB5C70C}"/>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971" name="Text Box 10">
          <a:extLst>
            <a:ext uri="{FF2B5EF4-FFF2-40B4-BE49-F238E27FC236}">
              <a16:creationId xmlns="" xmlns:a16="http://schemas.microsoft.com/office/drawing/2014/main" id="{67EF52BA-D921-4FF9-B80C-82E778B0DFA8}"/>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972" name="Text Box 11">
          <a:extLst>
            <a:ext uri="{FF2B5EF4-FFF2-40B4-BE49-F238E27FC236}">
              <a16:creationId xmlns="" xmlns:a16="http://schemas.microsoft.com/office/drawing/2014/main" id="{85FD2E2C-F520-47DB-ACB3-7EFA2567872C}"/>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973" name="Text Box 12">
          <a:extLst>
            <a:ext uri="{FF2B5EF4-FFF2-40B4-BE49-F238E27FC236}">
              <a16:creationId xmlns="" xmlns:a16="http://schemas.microsoft.com/office/drawing/2014/main" id="{1A852240-DD06-4C19-88B1-E5ABD7C6974A}"/>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974" name="Text Box 10">
          <a:extLst>
            <a:ext uri="{FF2B5EF4-FFF2-40B4-BE49-F238E27FC236}">
              <a16:creationId xmlns="" xmlns:a16="http://schemas.microsoft.com/office/drawing/2014/main" id="{FDEE61A1-8063-4446-82CC-AF0B29962705}"/>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975" name="Text Box 11">
          <a:extLst>
            <a:ext uri="{FF2B5EF4-FFF2-40B4-BE49-F238E27FC236}">
              <a16:creationId xmlns="" xmlns:a16="http://schemas.microsoft.com/office/drawing/2014/main" id="{43735163-1241-45BE-8D49-27ACF8F264C9}"/>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976" name="Text Box 12">
          <a:extLst>
            <a:ext uri="{FF2B5EF4-FFF2-40B4-BE49-F238E27FC236}">
              <a16:creationId xmlns="" xmlns:a16="http://schemas.microsoft.com/office/drawing/2014/main" id="{A17462E8-28F0-4E09-AB2D-05862E5B6370}"/>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977" name="Text Box 10">
          <a:extLst>
            <a:ext uri="{FF2B5EF4-FFF2-40B4-BE49-F238E27FC236}">
              <a16:creationId xmlns="" xmlns:a16="http://schemas.microsoft.com/office/drawing/2014/main" id="{7104103D-E36E-49D2-9F45-D9E94CE74658}"/>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978" name="Text Box 11">
          <a:extLst>
            <a:ext uri="{FF2B5EF4-FFF2-40B4-BE49-F238E27FC236}">
              <a16:creationId xmlns="" xmlns:a16="http://schemas.microsoft.com/office/drawing/2014/main" id="{9D37DDB2-4D1A-43B2-867E-1A5659F25927}"/>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979" name="Text Box 12">
          <a:extLst>
            <a:ext uri="{FF2B5EF4-FFF2-40B4-BE49-F238E27FC236}">
              <a16:creationId xmlns="" xmlns:a16="http://schemas.microsoft.com/office/drawing/2014/main" id="{7392360A-DD4C-4D44-A502-A0BC0C2B1C97}"/>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980" name="Text Box 10">
          <a:extLst>
            <a:ext uri="{FF2B5EF4-FFF2-40B4-BE49-F238E27FC236}">
              <a16:creationId xmlns="" xmlns:a16="http://schemas.microsoft.com/office/drawing/2014/main" id="{EDD44345-069A-4E2E-BB0D-438A4380C2B0}"/>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981" name="Text Box 11">
          <a:extLst>
            <a:ext uri="{FF2B5EF4-FFF2-40B4-BE49-F238E27FC236}">
              <a16:creationId xmlns="" xmlns:a16="http://schemas.microsoft.com/office/drawing/2014/main" id="{58043ACC-6551-487C-AE20-6610FB13F663}"/>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982" name="Text Box 12">
          <a:extLst>
            <a:ext uri="{FF2B5EF4-FFF2-40B4-BE49-F238E27FC236}">
              <a16:creationId xmlns="" xmlns:a16="http://schemas.microsoft.com/office/drawing/2014/main" id="{5C159BBD-CCA1-4F8D-B89A-8648493987F7}"/>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983" name="Text Box 10">
          <a:extLst>
            <a:ext uri="{FF2B5EF4-FFF2-40B4-BE49-F238E27FC236}">
              <a16:creationId xmlns="" xmlns:a16="http://schemas.microsoft.com/office/drawing/2014/main" id="{27616F26-36B4-4EDE-86F3-BE964BD8B65E}"/>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984" name="Text Box 11">
          <a:extLst>
            <a:ext uri="{FF2B5EF4-FFF2-40B4-BE49-F238E27FC236}">
              <a16:creationId xmlns="" xmlns:a16="http://schemas.microsoft.com/office/drawing/2014/main" id="{626AA8AF-053D-48D2-8A86-E59A33F6C7DE}"/>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985" name="Text Box 12">
          <a:extLst>
            <a:ext uri="{FF2B5EF4-FFF2-40B4-BE49-F238E27FC236}">
              <a16:creationId xmlns="" xmlns:a16="http://schemas.microsoft.com/office/drawing/2014/main" id="{FE34F17A-6DAF-40E0-A61B-CAEF3F104BE8}"/>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986" name="Text Box 10">
          <a:extLst>
            <a:ext uri="{FF2B5EF4-FFF2-40B4-BE49-F238E27FC236}">
              <a16:creationId xmlns="" xmlns:a16="http://schemas.microsoft.com/office/drawing/2014/main" id="{EAD3A5FC-C4CF-4162-808A-AFB267D10DF6}"/>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987" name="Text Box 11">
          <a:extLst>
            <a:ext uri="{FF2B5EF4-FFF2-40B4-BE49-F238E27FC236}">
              <a16:creationId xmlns="" xmlns:a16="http://schemas.microsoft.com/office/drawing/2014/main" id="{4B0CF117-29C6-4558-B18E-D796C4F28B16}"/>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988" name="Text Box 12">
          <a:extLst>
            <a:ext uri="{FF2B5EF4-FFF2-40B4-BE49-F238E27FC236}">
              <a16:creationId xmlns="" xmlns:a16="http://schemas.microsoft.com/office/drawing/2014/main" id="{5334147D-FCBE-4568-89FB-F4BF6DCAA735}"/>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989" name="Text Box 10">
          <a:extLst>
            <a:ext uri="{FF2B5EF4-FFF2-40B4-BE49-F238E27FC236}">
              <a16:creationId xmlns="" xmlns:a16="http://schemas.microsoft.com/office/drawing/2014/main" id="{7C1B95EB-2599-455D-BC24-CEAD2F74E84D}"/>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990" name="Text Box 11">
          <a:extLst>
            <a:ext uri="{FF2B5EF4-FFF2-40B4-BE49-F238E27FC236}">
              <a16:creationId xmlns="" xmlns:a16="http://schemas.microsoft.com/office/drawing/2014/main" id="{76941B3E-3C18-42DE-9F3A-98D4314079A7}"/>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991" name="Text Box 12">
          <a:extLst>
            <a:ext uri="{FF2B5EF4-FFF2-40B4-BE49-F238E27FC236}">
              <a16:creationId xmlns="" xmlns:a16="http://schemas.microsoft.com/office/drawing/2014/main" id="{499739B1-498C-4EB5-B200-0F914D2EFAB8}"/>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992" name="Text Box 10">
          <a:extLst>
            <a:ext uri="{FF2B5EF4-FFF2-40B4-BE49-F238E27FC236}">
              <a16:creationId xmlns="" xmlns:a16="http://schemas.microsoft.com/office/drawing/2014/main" id="{FF00362A-61AE-4C29-BF04-AEF17FD50DA9}"/>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993" name="Text Box 11">
          <a:extLst>
            <a:ext uri="{FF2B5EF4-FFF2-40B4-BE49-F238E27FC236}">
              <a16:creationId xmlns="" xmlns:a16="http://schemas.microsoft.com/office/drawing/2014/main" id="{BCF8AC71-3C27-46C5-A3AE-11ABE0648BCD}"/>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994" name="Text Box 12">
          <a:extLst>
            <a:ext uri="{FF2B5EF4-FFF2-40B4-BE49-F238E27FC236}">
              <a16:creationId xmlns="" xmlns:a16="http://schemas.microsoft.com/office/drawing/2014/main" id="{78D8A20F-DC14-4E8D-ABE9-B0FC614B3BB3}"/>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995" name="Text Box 10">
          <a:extLst>
            <a:ext uri="{FF2B5EF4-FFF2-40B4-BE49-F238E27FC236}">
              <a16:creationId xmlns="" xmlns:a16="http://schemas.microsoft.com/office/drawing/2014/main" id="{E857C2D2-7928-41D6-BDBD-9BB7BD35369D}"/>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996" name="Text Box 11">
          <a:extLst>
            <a:ext uri="{FF2B5EF4-FFF2-40B4-BE49-F238E27FC236}">
              <a16:creationId xmlns="" xmlns:a16="http://schemas.microsoft.com/office/drawing/2014/main" id="{EDADB2B5-6AC8-4499-98BA-3B15827ED7DC}"/>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997" name="Text Box 12">
          <a:extLst>
            <a:ext uri="{FF2B5EF4-FFF2-40B4-BE49-F238E27FC236}">
              <a16:creationId xmlns="" xmlns:a16="http://schemas.microsoft.com/office/drawing/2014/main" id="{43A9557E-E83A-4471-9E71-E5A652411633}"/>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998" name="Text Box 10">
          <a:extLst>
            <a:ext uri="{FF2B5EF4-FFF2-40B4-BE49-F238E27FC236}">
              <a16:creationId xmlns="" xmlns:a16="http://schemas.microsoft.com/office/drawing/2014/main" id="{F88F2947-33DB-400F-B0CE-19842A11E168}"/>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999" name="Text Box 11">
          <a:extLst>
            <a:ext uri="{FF2B5EF4-FFF2-40B4-BE49-F238E27FC236}">
              <a16:creationId xmlns="" xmlns:a16="http://schemas.microsoft.com/office/drawing/2014/main" id="{BF10B445-39F8-4130-AD8E-6BA01ED6F5F3}"/>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1000" name="Text Box 12">
          <a:extLst>
            <a:ext uri="{FF2B5EF4-FFF2-40B4-BE49-F238E27FC236}">
              <a16:creationId xmlns="" xmlns:a16="http://schemas.microsoft.com/office/drawing/2014/main" id="{F187E590-FDC2-4A95-AA5F-313D33062FFC}"/>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1001" name="Text Box 10">
          <a:extLst>
            <a:ext uri="{FF2B5EF4-FFF2-40B4-BE49-F238E27FC236}">
              <a16:creationId xmlns="" xmlns:a16="http://schemas.microsoft.com/office/drawing/2014/main" id="{8A39DCF8-087C-4491-817A-86D448FE951E}"/>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1002" name="Text Box 11">
          <a:extLst>
            <a:ext uri="{FF2B5EF4-FFF2-40B4-BE49-F238E27FC236}">
              <a16:creationId xmlns="" xmlns:a16="http://schemas.microsoft.com/office/drawing/2014/main" id="{818A368B-840D-4B0D-A83E-C67E3273E00E}"/>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1003" name="Text Box 12">
          <a:extLst>
            <a:ext uri="{FF2B5EF4-FFF2-40B4-BE49-F238E27FC236}">
              <a16:creationId xmlns="" xmlns:a16="http://schemas.microsoft.com/office/drawing/2014/main" id="{10D5EF62-F303-45D1-9A53-06780EA3DC6D}"/>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1004" name="Text Box 10">
          <a:extLst>
            <a:ext uri="{FF2B5EF4-FFF2-40B4-BE49-F238E27FC236}">
              <a16:creationId xmlns="" xmlns:a16="http://schemas.microsoft.com/office/drawing/2014/main" id="{4EE2C1EB-EA2D-4C48-BC65-8A8ED6EED32B}"/>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1005" name="Text Box 11">
          <a:extLst>
            <a:ext uri="{FF2B5EF4-FFF2-40B4-BE49-F238E27FC236}">
              <a16:creationId xmlns="" xmlns:a16="http://schemas.microsoft.com/office/drawing/2014/main" id="{7DC99407-A43E-4DFD-B9F0-F4B171B602E9}"/>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1006" name="Text Box 12">
          <a:extLst>
            <a:ext uri="{FF2B5EF4-FFF2-40B4-BE49-F238E27FC236}">
              <a16:creationId xmlns="" xmlns:a16="http://schemas.microsoft.com/office/drawing/2014/main" id="{F0F9E77E-DC92-4462-8178-BDB3C03EEBCC}"/>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1007" name="Text Box 10">
          <a:extLst>
            <a:ext uri="{FF2B5EF4-FFF2-40B4-BE49-F238E27FC236}">
              <a16:creationId xmlns="" xmlns:a16="http://schemas.microsoft.com/office/drawing/2014/main" id="{7BB6072A-64C6-4695-BAD8-4C133D623A79}"/>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1008" name="Text Box 11">
          <a:extLst>
            <a:ext uri="{FF2B5EF4-FFF2-40B4-BE49-F238E27FC236}">
              <a16:creationId xmlns="" xmlns:a16="http://schemas.microsoft.com/office/drawing/2014/main" id="{827CE61F-3F01-4A8F-ACC2-5F5DAA64D84B}"/>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1009" name="Text Box 12">
          <a:extLst>
            <a:ext uri="{FF2B5EF4-FFF2-40B4-BE49-F238E27FC236}">
              <a16:creationId xmlns="" xmlns:a16="http://schemas.microsoft.com/office/drawing/2014/main" id="{61D3C5A9-9F13-444B-9865-2E24365CC092}"/>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1010" name="Text Box 10">
          <a:extLst>
            <a:ext uri="{FF2B5EF4-FFF2-40B4-BE49-F238E27FC236}">
              <a16:creationId xmlns="" xmlns:a16="http://schemas.microsoft.com/office/drawing/2014/main" id="{216794E2-28CB-4BD8-BAF8-7D01C6C06AF1}"/>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1011" name="Text Box 11">
          <a:extLst>
            <a:ext uri="{FF2B5EF4-FFF2-40B4-BE49-F238E27FC236}">
              <a16:creationId xmlns="" xmlns:a16="http://schemas.microsoft.com/office/drawing/2014/main" id="{747248D5-FBE7-46BB-8023-1379D04E1B2D}"/>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1012" name="Text Box 12">
          <a:extLst>
            <a:ext uri="{FF2B5EF4-FFF2-40B4-BE49-F238E27FC236}">
              <a16:creationId xmlns="" xmlns:a16="http://schemas.microsoft.com/office/drawing/2014/main" id="{F2AA581D-0062-4349-956A-86D57B637DCF}"/>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1013" name="Text Box 10">
          <a:extLst>
            <a:ext uri="{FF2B5EF4-FFF2-40B4-BE49-F238E27FC236}">
              <a16:creationId xmlns="" xmlns:a16="http://schemas.microsoft.com/office/drawing/2014/main" id="{7768515E-F8A7-41C6-B791-A270119B0E7C}"/>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1014" name="Text Box 11">
          <a:extLst>
            <a:ext uri="{FF2B5EF4-FFF2-40B4-BE49-F238E27FC236}">
              <a16:creationId xmlns="" xmlns:a16="http://schemas.microsoft.com/office/drawing/2014/main" id="{A0055743-389E-4EA8-A000-22F87BC5C636}"/>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1015" name="Text Box 12">
          <a:extLst>
            <a:ext uri="{FF2B5EF4-FFF2-40B4-BE49-F238E27FC236}">
              <a16:creationId xmlns="" xmlns:a16="http://schemas.microsoft.com/office/drawing/2014/main" id="{F2CC510D-A4B5-474B-89A4-1C6116399686}"/>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1016" name="Text Box 10">
          <a:extLst>
            <a:ext uri="{FF2B5EF4-FFF2-40B4-BE49-F238E27FC236}">
              <a16:creationId xmlns="" xmlns:a16="http://schemas.microsoft.com/office/drawing/2014/main" id="{E46ECC25-488A-4DC2-86E3-4ED2F469AC91}"/>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1017" name="Text Box 11">
          <a:extLst>
            <a:ext uri="{FF2B5EF4-FFF2-40B4-BE49-F238E27FC236}">
              <a16:creationId xmlns="" xmlns:a16="http://schemas.microsoft.com/office/drawing/2014/main" id="{7C3BDA09-C354-4FC8-8180-7E30A678DD75}"/>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1018" name="Text Box 12">
          <a:extLst>
            <a:ext uri="{FF2B5EF4-FFF2-40B4-BE49-F238E27FC236}">
              <a16:creationId xmlns="" xmlns:a16="http://schemas.microsoft.com/office/drawing/2014/main" id="{086F4F8A-09EA-408C-B417-FC5AF98DA092}"/>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1019" name="Text Box 10">
          <a:extLst>
            <a:ext uri="{FF2B5EF4-FFF2-40B4-BE49-F238E27FC236}">
              <a16:creationId xmlns="" xmlns:a16="http://schemas.microsoft.com/office/drawing/2014/main" id="{909CFC22-B719-4358-AD2F-53935EFA1F89}"/>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1020" name="Text Box 11">
          <a:extLst>
            <a:ext uri="{FF2B5EF4-FFF2-40B4-BE49-F238E27FC236}">
              <a16:creationId xmlns="" xmlns:a16="http://schemas.microsoft.com/office/drawing/2014/main" id="{7A9E4BA6-9821-42AD-95FC-F4217C35F6EC}"/>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1021" name="Text Box 12">
          <a:extLst>
            <a:ext uri="{FF2B5EF4-FFF2-40B4-BE49-F238E27FC236}">
              <a16:creationId xmlns="" xmlns:a16="http://schemas.microsoft.com/office/drawing/2014/main" id="{A081E410-2FA3-4C70-8EC4-28CE3CEC2837}"/>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1022" name="Text Box 10">
          <a:extLst>
            <a:ext uri="{FF2B5EF4-FFF2-40B4-BE49-F238E27FC236}">
              <a16:creationId xmlns="" xmlns:a16="http://schemas.microsoft.com/office/drawing/2014/main" id="{FFAF87C1-BD11-4106-A7B4-260072C0F32E}"/>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1023" name="Text Box 11">
          <a:extLst>
            <a:ext uri="{FF2B5EF4-FFF2-40B4-BE49-F238E27FC236}">
              <a16:creationId xmlns="" xmlns:a16="http://schemas.microsoft.com/office/drawing/2014/main" id="{5289D9EF-9274-4336-82FA-E926F845FF78}"/>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1024" name="Text Box 12">
          <a:extLst>
            <a:ext uri="{FF2B5EF4-FFF2-40B4-BE49-F238E27FC236}">
              <a16:creationId xmlns="" xmlns:a16="http://schemas.microsoft.com/office/drawing/2014/main" id="{1AAF9A8F-A769-4D06-B772-03403731F1C4}"/>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1025" name="Text Box 10">
          <a:extLst>
            <a:ext uri="{FF2B5EF4-FFF2-40B4-BE49-F238E27FC236}">
              <a16:creationId xmlns="" xmlns:a16="http://schemas.microsoft.com/office/drawing/2014/main" id="{B418E719-F7E8-4B77-A030-03EDEC62FEF9}"/>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1026" name="Text Box 11">
          <a:extLst>
            <a:ext uri="{FF2B5EF4-FFF2-40B4-BE49-F238E27FC236}">
              <a16:creationId xmlns="" xmlns:a16="http://schemas.microsoft.com/office/drawing/2014/main" id="{A5F96CF5-37B4-4DFD-BDFD-F05B65B395FF}"/>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1027" name="Text Box 12">
          <a:extLst>
            <a:ext uri="{FF2B5EF4-FFF2-40B4-BE49-F238E27FC236}">
              <a16:creationId xmlns="" xmlns:a16="http://schemas.microsoft.com/office/drawing/2014/main" id="{A113DD54-C0D5-477A-A2B5-4307BEA024A1}"/>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1028" name="Text Box 10">
          <a:extLst>
            <a:ext uri="{FF2B5EF4-FFF2-40B4-BE49-F238E27FC236}">
              <a16:creationId xmlns="" xmlns:a16="http://schemas.microsoft.com/office/drawing/2014/main" id="{1015F3DF-E649-4072-8CC8-00FD959DE937}"/>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1029" name="Text Box 11">
          <a:extLst>
            <a:ext uri="{FF2B5EF4-FFF2-40B4-BE49-F238E27FC236}">
              <a16:creationId xmlns="" xmlns:a16="http://schemas.microsoft.com/office/drawing/2014/main" id="{A0DF6837-6E8D-4966-82A0-7E9CB4D62688}"/>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1030" name="Text Box 12">
          <a:extLst>
            <a:ext uri="{FF2B5EF4-FFF2-40B4-BE49-F238E27FC236}">
              <a16:creationId xmlns="" xmlns:a16="http://schemas.microsoft.com/office/drawing/2014/main" id="{0C1C027D-8241-4A41-BE62-23BDA0355179}"/>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1031" name="Text Box 10">
          <a:extLst>
            <a:ext uri="{FF2B5EF4-FFF2-40B4-BE49-F238E27FC236}">
              <a16:creationId xmlns="" xmlns:a16="http://schemas.microsoft.com/office/drawing/2014/main" id="{CC9E6B0C-3E55-473E-97E0-ED3D0599CC12}"/>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1032" name="Text Box 11">
          <a:extLst>
            <a:ext uri="{FF2B5EF4-FFF2-40B4-BE49-F238E27FC236}">
              <a16:creationId xmlns="" xmlns:a16="http://schemas.microsoft.com/office/drawing/2014/main" id="{F670C943-0088-46F6-BD00-75D54E785C8B}"/>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1033" name="Text Box 12">
          <a:extLst>
            <a:ext uri="{FF2B5EF4-FFF2-40B4-BE49-F238E27FC236}">
              <a16:creationId xmlns="" xmlns:a16="http://schemas.microsoft.com/office/drawing/2014/main" id="{0E95D818-D59C-4647-8816-595983CDFB69}"/>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1034" name="Text Box 10">
          <a:extLst>
            <a:ext uri="{FF2B5EF4-FFF2-40B4-BE49-F238E27FC236}">
              <a16:creationId xmlns="" xmlns:a16="http://schemas.microsoft.com/office/drawing/2014/main" id="{6F0A86D5-8DF5-4BD7-A31C-2CEC40F0D47C}"/>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1035" name="Text Box 11">
          <a:extLst>
            <a:ext uri="{FF2B5EF4-FFF2-40B4-BE49-F238E27FC236}">
              <a16:creationId xmlns="" xmlns:a16="http://schemas.microsoft.com/office/drawing/2014/main" id="{09A2B1C5-68B7-43E3-A567-FE0C0B1E5794}"/>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1036" name="Text Box 12">
          <a:extLst>
            <a:ext uri="{FF2B5EF4-FFF2-40B4-BE49-F238E27FC236}">
              <a16:creationId xmlns="" xmlns:a16="http://schemas.microsoft.com/office/drawing/2014/main" id="{6DB5B9EE-DC3B-4416-99EB-D9C37EE0140F}"/>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1037" name="Text Box 10">
          <a:extLst>
            <a:ext uri="{FF2B5EF4-FFF2-40B4-BE49-F238E27FC236}">
              <a16:creationId xmlns="" xmlns:a16="http://schemas.microsoft.com/office/drawing/2014/main" id="{00F1C7FA-18C7-4CC4-8540-AC23231BA040}"/>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1038" name="Text Box 11">
          <a:extLst>
            <a:ext uri="{FF2B5EF4-FFF2-40B4-BE49-F238E27FC236}">
              <a16:creationId xmlns="" xmlns:a16="http://schemas.microsoft.com/office/drawing/2014/main" id="{3D8C1973-3BD3-4055-8209-FB4F7BAE6E68}"/>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1039" name="Text Box 12">
          <a:extLst>
            <a:ext uri="{FF2B5EF4-FFF2-40B4-BE49-F238E27FC236}">
              <a16:creationId xmlns="" xmlns:a16="http://schemas.microsoft.com/office/drawing/2014/main" id="{673346A0-22A2-4270-8B09-1F9D7B16C0CC}"/>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1040" name="Text Box 10">
          <a:extLst>
            <a:ext uri="{FF2B5EF4-FFF2-40B4-BE49-F238E27FC236}">
              <a16:creationId xmlns="" xmlns:a16="http://schemas.microsoft.com/office/drawing/2014/main" id="{F14AF6FD-4EA9-46C0-A6F0-4AF320E2DF55}"/>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1041" name="Text Box 11">
          <a:extLst>
            <a:ext uri="{FF2B5EF4-FFF2-40B4-BE49-F238E27FC236}">
              <a16:creationId xmlns="" xmlns:a16="http://schemas.microsoft.com/office/drawing/2014/main" id="{3582ABFC-8658-4813-A61A-80127F6E5B1A}"/>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1042" name="Text Box 12">
          <a:extLst>
            <a:ext uri="{FF2B5EF4-FFF2-40B4-BE49-F238E27FC236}">
              <a16:creationId xmlns="" xmlns:a16="http://schemas.microsoft.com/office/drawing/2014/main" id="{3022A135-0BA8-4548-A9CC-F10AE1AD8A05}"/>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1043" name="Text Box 10">
          <a:extLst>
            <a:ext uri="{FF2B5EF4-FFF2-40B4-BE49-F238E27FC236}">
              <a16:creationId xmlns="" xmlns:a16="http://schemas.microsoft.com/office/drawing/2014/main" id="{636EB476-5E40-4362-87F0-8683C82F43D5}"/>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1044" name="Text Box 11">
          <a:extLst>
            <a:ext uri="{FF2B5EF4-FFF2-40B4-BE49-F238E27FC236}">
              <a16:creationId xmlns="" xmlns:a16="http://schemas.microsoft.com/office/drawing/2014/main" id="{B6EBD9AF-01B4-411F-A27A-576EA6D3805F}"/>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1045" name="Text Box 12">
          <a:extLst>
            <a:ext uri="{FF2B5EF4-FFF2-40B4-BE49-F238E27FC236}">
              <a16:creationId xmlns="" xmlns:a16="http://schemas.microsoft.com/office/drawing/2014/main" id="{E3774DF5-C54F-4D0F-85DC-8A4CC2A47F2E}"/>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1046" name="Text Box 10">
          <a:extLst>
            <a:ext uri="{FF2B5EF4-FFF2-40B4-BE49-F238E27FC236}">
              <a16:creationId xmlns="" xmlns:a16="http://schemas.microsoft.com/office/drawing/2014/main" id="{158027E1-1799-4B71-A7E3-0637AE220082}"/>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1047" name="Text Box 11">
          <a:extLst>
            <a:ext uri="{FF2B5EF4-FFF2-40B4-BE49-F238E27FC236}">
              <a16:creationId xmlns="" xmlns:a16="http://schemas.microsoft.com/office/drawing/2014/main" id="{A8C75554-4241-482B-8C09-3A3D90EDA7CF}"/>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1048" name="Text Box 12">
          <a:extLst>
            <a:ext uri="{FF2B5EF4-FFF2-40B4-BE49-F238E27FC236}">
              <a16:creationId xmlns="" xmlns:a16="http://schemas.microsoft.com/office/drawing/2014/main" id="{2D071BDD-AE8E-4B8A-BFB1-3ED029DEBEAB}"/>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1049" name="Text Box 10">
          <a:extLst>
            <a:ext uri="{FF2B5EF4-FFF2-40B4-BE49-F238E27FC236}">
              <a16:creationId xmlns="" xmlns:a16="http://schemas.microsoft.com/office/drawing/2014/main" id="{9F519BC8-D424-4758-9246-EE28C9534E19}"/>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1050" name="Text Box 11">
          <a:extLst>
            <a:ext uri="{FF2B5EF4-FFF2-40B4-BE49-F238E27FC236}">
              <a16:creationId xmlns="" xmlns:a16="http://schemas.microsoft.com/office/drawing/2014/main" id="{1B67BBA8-0C69-4308-84C0-274889054BBD}"/>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1051" name="Text Box 12">
          <a:extLst>
            <a:ext uri="{FF2B5EF4-FFF2-40B4-BE49-F238E27FC236}">
              <a16:creationId xmlns="" xmlns:a16="http://schemas.microsoft.com/office/drawing/2014/main" id="{82C9ECB7-AE34-4E26-B3DB-7101BFCD30DB}"/>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1052" name="Text Box 10">
          <a:extLst>
            <a:ext uri="{FF2B5EF4-FFF2-40B4-BE49-F238E27FC236}">
              <a16:creationId xmlns="" xmlns:a16="http://schemas.microsoft.com/office/drawing/2014/main" id="{64AFA91D-D462-4478-9C39-22DB65F019DD}"/>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1053" name="Text Box 11">
          <a:extLst>
            <a:ext uri="{FF2B5EF4-FFF2-40B4-BE49-F238E27FC236}">
              <a16:creationId xmlns="" xmlns:a16="http://schemas.microsoft.com/office/drawing/2014/main" id="{DCE85DA1-DA09-4B3E-BAF0-270156392B6B}"/>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1054" name="Text Box 12">
          <a:extLst>
            <a:ext uri="{FF2B5EF4-FFF2-40B4-BE49-F238E27FC236}">
              <a16:creationId xmlns="" xmlns:a16="http://schemas.microsoft.com/office/drawing/2014/main" id="{FCA4E8E2-B62A-410B-B425-83F7AC36E717}"/>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1055" name="Text Box 10">
          <a:extLst>
            <a:ext uri="{FF2B5EF4-FFF2-40B4-BE49-F238E27FC236}">
              <a16:creationId xmlns="" xmlns:a16="http://schemas.microsoft.com/office/drawing/2014/main" id="{9A6570D0-F6A0-44F2-AFBC-B76B504F6D68}"/>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1056" name="Text Box 11">
          <a:extLst>
            <a:ext uri="{FF2B5EF4-FFF2-40B4-BE49-F238E27FC236}">
              <a16:creationId xmlns="" xmlns:a16="http://schemas.microsoft.com/office/drawing/2014/main" id="{29BFBF53-99FE-4CDC-8C3B-6AAFD768E62C}"/>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1057" name="Text Box 12">
          <a:extLst>
            <a:ext uri="{FF2B5EF4-FFF2-40B4-BE49-F238E27FC236}">
              <a16:creationId xmlns="" xmlns:a16="http://schemas.microsoft.com/office/drawing/2014/main" id="{4AE66B0E-E688-42BF-AF99-965819304648}"/>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1058" name="Text Box 10">
          <a:extLst>
            <a:ext uri="{FF2B5EF4-FFF2-40B4-BE49-F238E27FC236}">
              <a16:creationId xmlns="" xmlns:a16="http://schemas.microsoft.com/office/drawing/2014/main" id="{92AA3865-D762-4126-9E26-5A33394CED93}"/>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1059" name="Text Box 11">
          <a:extLst>
            <a:ext uri="{FF2B5EF4-FFF2-40B4-BE49-F238E27FC236}">
              <a16:creationId xmlns="" xmlns:a16="http://schemas.microsoft.com/office/drawing/2014/main" id="{A8133C3B-4FC6-412A-8ED8-18BF4FFD5AD3}"/>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1060" name="Text Box 12">
          <a:extLst>
            <a:ext uri="{FF2B5EF4-FFF2-40B4-BE49-F238E27FC236}">
              <a16:creationId xmlns="" xmlns:a16="http://schemas.microsoft.com/office/drawing/2014/main" id="{ADFA2593-77AA-4748-9DE9-C54420322432}"/>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1061" name="Text Box 10">
          <a:extLst>
            <a:ext uri="{FF2B5EF4-FFF2-40B4-BE49-F238E27FC236}">
              <a16:creationId xmlns="" xmlns:a16="http://schemas.microsoft.com/office/drawing/2014/main" id="{4F08C6FD-B1FD-4C4B-99AD-F5F310C99FC2}"/>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104775</xdr:colOff>
      <xdr:row>18</xdr:row>
      <xdr:rowOff>272410</xdr:rowOff>
    </xdr:to>
    <xdr:sp macro="" textlink="">
      <xdr:nvSpPr>
        <xdr:cNvPr id="1062" name="Text Box 11">
          <a:extLst>
            <a:ext uri="{FF2B5EF4-FFF2-40B4-BE49-F238E27FC236}">
              <a16:creationId xmlns="" xmlns:a16="http://schemas.microsoft.com/office/drawing/2014/main" id="{7B37972C-A93A-496B-B674-94F486A07E53}"/>
            </a:ext>
          </a:extLst>
        </xdr:cNvPr>
        <xdr:cNvSpPr txBox="1">
          <a:spLocks noChangeArrowheads="1"/>
        </xdr:cNvSpPr>
      </xdr:nvSpPr>
      <xdr:spPr bwMode="auto">
        <a:xfrm>
          <a:off x="4286250" y="2981325"/>
          <a:ext cx="95250" cy="2361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85725</xdr:colOff>
      <xdr:row>15</xdr:row>
      <xdr:rowOff>253558</xdr:rowOff>
    </xdr:to>
    <xdr:sp macro="" textlink="">
      <xdr:nvSpPr>
        <xdr:cNvPr id="1063" name="Text Box 10">
          <a:extLst>
            <a:ext uri="{FF2B5EF4-FFF2-40B4-BE49-F238E27FC236}">
              <a16:creationId xmlns="" xmlns:a16="http://schemas.microsoft.com/office/drawing/2014/main" id="{39877155-374F-4845-9B0C-8455ABE321DC}"/>
            </a:ext>
          </a:extLst>
        </xdr:cNvPr>
        <xdr:cNvSpPr txBox="1">
          <a:spLocks noChangeArrowheads="1"/>
        </xdr:cNvSpPr>
      </xdr:nvSpPr>
      <xdr:spPr bwMode="auto">
        <a:xfrm>
          <a:off x="4286250" y="2981325"/>
          <a:ext cx="76200" cy="1197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85725</xdr:colOff>
      <xdr:row>15</xdr:row>
      <xdr:rowOff>253558</xdr:rowOff>
    </xdr:to>
    <xdr:sp macro="" textlink="">
      <xdr:nvSpPr>
        <xdr:cNvPr id="1064" name="Text Box 11">
          <a:extLst>
            <a:ext uri="{FF2B5EF4-FFF2-40B4-BE49-F238E27FC236}">
              <a16:creationId xmlns="" xmlns:a16="http://schemas.microsoft.com/office/drawing/2014/main" id="{50B9D538-BA28-437E-9F82-B39116B962C5}"/>
            </a:ext>
          </a:extLst>
        </xdr:cNvPr>
        <xdr:cNvSpPr txBox="1">
          <a:spLocks noChangeArrowheads="1"/>
        </xdr:cNvSpPr>
      </xdr:nvSpPr>
      <xdr:spPr bwMode="auto">
        <a:xfrm>
          <a:off x="4286250" y="2981325"/>
          <a:ext cx="76200" cy="1197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85725</xdr:colOff>
      <xdr:row>15</xdr:row>
      <xdr:rowOff>253558</xdr:rowOff>
    </xdr:to>
    <xdr:sp macro="" textlink="">
      <xdr:nvSpPr>
        <xdr:cNvPr id="1065" name="Text Box 12">
          <a:extLst>
            <a:ext uri="{FF2B5EF4-FFF2-40B4-BE49-F238E27FC236}">
              <a16:creationId xmlns="" xmlns:a16="http://schemas.microsoft.com/office/drawing/2014/main" id="{FF2410D0-BB28-42D1-97DC-F47D6B70E6ED}"/>
            </a:ext>
          </a:extLst>
        </xdr:cNvPr>
        <xdr:cNvSpPr txBox="1">
          <a:spLocks noChangeArrowheads="1"/>
        </xdr:cNvSpPr>
      </xdr:nvSpPr>
      <xdr:spPr bwMode="auto">
        <a:xfrm>
          <a:off x="4286250" y="2981325"/>
          <a:ext cx="76200" cy="1197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85725</xdr:colOff>
      <xdr:row>15</xdr:row>
      <xdr:rowOff>253558</xdr:rowOff>
    </xdr:to>
    <xdr:sp macro="" textlink="">
      <xdr:nvSpPr>
        <xdr:cNvPr id="1066" name="Text Box 10">
          <a:extLst>
            <a:ext uri="{FF2B5EF4-FFF2-40B4-BE49-F238E27FC236}">
              <a16:creationId xmlns="" xmlns:a16="http://schemas.microsoft.com/office/drawing/2014/main" id="{F10ED7EC-E28A-4C0F-AE07-F7A9E31FD71D}"/>
            </a:ext>
          </a:extLst>
        </xdr:cNvPr>
        <xdr:cNvSpPr txBox="1">
          <a:spLocks noChangeArrowheads="1"/>
        </xdr:cNvSpPr>
      </xdr:nvSpPr>
      <xdr:spPr bwMode="auto">
        <a:xfrm>
          <a:off x="4286250" y="2981325"/>
          <a:ext cx="76200" cy="1197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85725</xdr:colOff>
      <xdr:row>15</xdr:row>
      <xdr:rowOff>253558</xdr:rowOff>
    </xdr:to>
    <xdr:sp macro="" textlink="">
      <xdr:nvSpPr>
        <xdr:cNvPr id="1067" name="Text Box 11">
          <a:extLst>
            <a:ext uri="{FF2B5EF4-FFF2-40B4-BE49-F238E27FC236}">
              <a16:creationId xmlns="" xmlns:a16="http://schemas.microsoft.com/office/drawing/2014/main" id="{33B2E2A9-EC59-4296-839C-14BD803AE052}"/>
            </a:ext>
          </a:extLst>
        </xdr:cNvPr>
        <xdr:cNvSpPr txBox="1">
          <a:spLocks noChangeArrowheads="1"/>
        </xdr:cNvSpPr>
      </xdr:nvSpPr>
      <xdr:spPr bwMode="auto">
        <a:xfrm>
          <a:off x="4286250" y="2981325"/>
          <a:ext cx="76200" cy="1197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85725</xdr:colOff>
      <xdr:row>15</xdr:row>
      <xdr:rowOff>253558</xdr:rowOff>
    </xdr:to>
    <xdr:sp macro="" textlink="">
      <xdr:nvSpPr>
        <xdr:cNvPr id="1068" name="Text Box 12">
          <a:extLst>
            <a:ext uri="{FF2B5EF4-FFF2-40B4-BE49-F238E27FC236}">
              <a16:creationId xmlns="" xmlns:a16="http://schemas.microsoft.com/office/drawing/2014/main" id="{83313A02-9F02-4D74-B180-A870C00EB766}"/>
            </a:ext>
          </a:extLst>
        </xdr:cNvPr>
        <xdr:cNvSpPr txBox="1">
          <a:spLocks noChangeArrowheads="1"/>
        </xdr:cNvSpPr>
      </xdr:nvSpPr>
      <xdr:spPr bwMode="auto">
        <a:xfrm>
          <a:off x="4286250" y="2981325"/>
          <a:ext cx="76200" cy="1197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85725</xdr:colOff>
      <xdr:row>15</xdr:row>
      <xdr:rowOff>253558</xdr:rowOff>
    </xdr:to>
    <xdr:sp macro="" textlink="">
      <xdr:nvSpPr>
        <xdr:cNvPr id="1069" name="Text Box 10">
          <a:extLst>
            <a:ext uri="{FF2B5EF4-FFF2-40B4-BE49-F238E27FC236}">
              <a16:creationId xmlns="" xmlns:a16="http://schemas.microsoft.com/office/drawing/2014/main" id="{D60A0680-7498-41FA-88F7-B97E47A81EF8}"/>
            </a:ext>
          </a:extLst>
        </xdr:cNvPr>
        <xdr:cNvSpPr txBox="1">
          <a:spLocks noChangeArrowheads="1"/>
        </xdr:cNvSpPr>
      </xdr:nvSpPr>
      <xdr:spPr bwMode="auto">
        <a:xfrm>
          <a:off x="4286250" y="2981325"/>
          <a:ext cx="76200" cy="1197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85725</xdr:colOff>
      <xdr:row>15</xdr:row>
      <xdr:rowOff>253558</xdr:rowOff>
    </xdr:to>
    <xdr:sp macro="" textlink="">
      <xdr:nvSpPr>
        <xdr:cNvPr id="1070" name="Text Box 11">
          <a:extLst>
            <a:ext uri="{FF2B5EF4-FFF2-40B4-BE49-F238E27FC236}">
              <a16:creationId xmlns="" xmlns:a16="http://schemas.microsoft.com/office/drawing/2014/main" id="{E6C9F2A1-B44A-42C0-85BA-C6F792BC4165}"/>
            </a:ext>
          </a:extLst>
        </xdr:cNvPr>
        <xdr:cNvSpPr txBox="1">
          <a:spLocks noChangeArrowheads="1"/>
        </xdr:cNvSpPr>
      </xdr:nvSpPr>
      <xdr:spPr bwMode="auto">
        <a:xfrm>
          <a:off x="4286250" y="2981325"/>
          <a:ext cx="76200" cy="1197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85725</xdr:colOff>
      <xdr:row>15</xdr:row>
      <xdr:rowOff>253558</xdr:rowOff>
    </xdr:to>
    <xdr:sp macro="" textlink="">
      <xdr:nvSpPr>
        <xdr:cNvPr id="1071" name="Text Box 12">
          <a:extLst>
            <a:ext uri="{FF2B5EF4-FFF2-40B4-BE49-F238E27FC236}">
              <a16:creationId xmlns="" xmlns:a16="http://schemas.microsoft.com/office/drawing/2014/main" id="{565F0317-F84B-4B98-B8AD-1D82703C470C}"/>
            </a:ext>
          </a:extLst>
        </xdr:cNvPr>
        <xdr:cNvSpPr txBox="1">
          <a:spLocks noChangeArrowheads="1"/>
        </xdr:cNvSpPr>
      </xdr:nvSpPr>
      <xdr:spPr bwMode="auto">
        <a:xfrm>
          <a:off x="4286250" y="2981325"/>
          <a:ext cx="76200" cy="1197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85725</xdr:colOff>
      <xdr:row>15</xdr:row>
      <xdr:rowOff>253558</xdr:rowOff>
    </xdr:to>
    <xdr:sp macro="" textlink="">
      <xdr:nvSpPr>
        <xdr:cNvPr id="1072" name="Text Box 10">
          <a:extLst>
            <a:ext uri="{FF2B5EF4-FFF2-40B4-BE49-F238E27FC236}">
              <a16:creationId xmlns="" xmlns:a16="http://schemas.microsoft.com/office/drawing/2014/main" id="{B34ABE99-3C88-4854-9841-64EABEEAB752}"/>
            </a:ext>
          </a:extLst>
        </xdr:cNvPr>
        <xdr:cNvSpPr txBox="1">
          <a:spLocks noChangeArrowheads="1"/>
        </xdr:cNvSpPr>
      </xdr:nvSpPr>
      <xdr:spPr bwMode="auto">
        <a:xfrm>
          <a:off x="4286250" y="2981325"/>
          <a:ext cx="76200" cy="1197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85725</xdr:colOff>
      <xdr:row>15</xdr:row>
      <xdr:rowOff>253558</xdr:rowOff>
    </xdr:to>
    <xdr:sp macro="" textlink="">
      <xdr:nvSpPr>
        <xdr:cNvPr id="1073" name="Text Box 11">
          <a:extLst>
            <a:ext uri="{FF2B5EF4-FFF2-40B4-BE49-F238E27FC236}">
              <a16:creationId xmlns="" xmlns:a16="http://schemas.microsoft.com/office/drawing/2014/main" id="{F3329123-70E2-4B0D-8DF5-8A864A363F01}"/>
            </a:ext>
          </a:extLst>
        </xdr:cNvPr>
        <xdr:cNvSpPr txBox="1">
          <a:spLocks noChangeArrowheads="1"/>
        </xdr:cNvSpPr>
      </xdr:nvSpPr>
      <xdr:spPr bwMode="auto">
        <a:xfrm>
          <a:off x="4286250" y="2981325"/>
          <a:ext cx="76200" cy="1197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85725</xdr:colOff>
      <xdr:row>15</xdr:row>
      <xdr:rowOff>253558</xdr:rowOff>
    </xdr:to>
    <xdr:sp macro="" textlink="">
      <xdr:nvSpPr>
        <xdr:cNvPr id="1074" name="Text Box 12">
          <a:extLst>
            <a:ext uri="{FF2B5EF4-FFF2-40B4-BE49-F238E27FC236}">
              <a16:creationId xmlns="" xmlns:a16="http://schemas.microsoft.com/office/drawing/2014/main" id="{BB1AE4AB-B958-4CA7-8408-B1F4EE2A005E}"/>
            </a:ext>
          </a:extLst>
        </xdr:cNvPr>
        <xdr:cNvSpPr txBox="1">
          <a:spLocks noChangeArrowheads="1"/>
        </xdr:cNvSpPr>
      </xdr:nvSpPr>
      <xdr:spPr bwMode="auto">
        <a:xfrm>
          <a:off x="4286250" y="2981325"/>
          <a:ext cx="76200" cy="1197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85725</xdr:colOff>
      <xdr:row>15</xdr:row>
      <xdr:rowOff>253558</xdr:rowOff>
    </xdr:to>
    <xdr:sp macro="" textlink="">
      <xdr:nvSpPr>
        <xdr:cNvPr id="1075" name="Text Box 10">
          <a:extLst>
            <a:ext uri="{FF2B5EF4-FFF2-40B4-BE49-F238E27FC236}">
              <a16:creationId xmlns="" xmlns:a16="http://schemas.microsoft.com/office/drawing/2014/main" id="{A32055E4-8005-44EE-8121-00C042EEE504}"/>
            </a:ext>
          </a:extLst>
        </xdr:cNvPr>
        <xdr:cNvSpPr txBox="1">
          <a:spLocks noChangeArrowheads="1"/>
        </xdr:cNvSpPr>
      </xdr:nvSpPr>
      <xdr:spPr bwMode="auto">
        <a:xfrm>
          <a:off x="4286250" y="2981325"/>
          <a:ext cx="76200" cy="1197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85725</xdr:colOff>
      <xdr:row>15</xdr:row>
      <xdr:rowOff>253558</xdr:rowOff>
    </xdr:to>
    <xdr:sp macro="" textlink="">
      <xdr:nvSpPr>
        <xdr:cNvPr id="1076" name="Text Box 11">
          <a:extLst>
            <a:ext uri="{FF2B5EF4-FFF2-40B4-BE49-F238E27FC236}">
              <a16:creationId xmlns="" xmlns:a16="http://schemas.microsoft.com/office/drawing/2014/main" id="{E57BFFF6-721C-4C2F-BE30-C3C335963F41}"/>
            </a:ext>
          </a:extLst>
        </xdr:cNvPr>
        <xdr:cNvSpPr txBox="1">
          <a:spLocks noChangeArrowheads="1"/>
        </xdr:cNvSpPr>
      </xdr:nvSpPr>
      <xdr:spPr bwMode="auto">
        <a:xfrm>
          <a:off x="4286250" y="2981325"/>
          <a:ext cx="76200" cy="1197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85725</xdr:colOff>
      <xdr:row>15</xdr:row>
      <xdr:rowOff>253558</xdr:rowOff>
    </xdr:to>
    <xdr:sp macro="" textlink="">
      <xdr:nvSpPr>
        <xdr:cNvPr id="1077" name="Text Box 12">
          <a:extLst>
            <a:ext uri="{FF2B5EF4-FFF2-40B4-BE49-F238E27FC236}">
              <a16:creationId xmlns="" xmlns:a16="http://schemas.microsoft.com/office/drawing/2014/main" id="{74C9F1BA-12A8-48A3-9A53-7A296933095E}"/>
            </a:ext>
          </a:extLst>
        </xdr:cNvPr>
        <xdr:cNvSpPr txBox="1">
          <a:spLocks noChangeArrowheads="1"/>
        </xdr:cNvSpPr>
      </xdr:nvSpPr>
      <xdr:spPr bwMode="auto">
        <a:xfrm>
          <a:off x="4286250" y="2981325"/>
          <a:ext cx="76200" cy="1197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85725</xdr:colOff>
      <xdr:row>15</xdr:row>
      <xdr:rowOff>253558</xdr:rowOff>
    </xdr:to>
    <xdr:sp macro="" textlink="">
      <xdr:nvSpPr>
        <xdr:cNvPr id="1078" name="Text Box 10">
          <a:extLst>
            <a:ext uri="{FF2B5EF4-FFF2-40B4-BE49-F238E27FC236}">
              <a16:creationId xmlns="" xmlns:a16="http://schemas.microsoft.com/office/drawing/2014/main" id="{42E5B2EB-E2FE-4370-9AED-FB84E9ABCFA4}"/>
            </a:ext>
          </a:extLst>
        </xdr:cNvPr>
        <xdr:cNvSpPr txBox="1">
          <a:spLocks noChangeArrowheads="1"/>
        </xdr:cNvSpPr>
      </xdr:nvSpPr>
      <xdr:spPr bwMode="auto">
        <a:xfrm>
          <a:off x="4286250" y="2981325"/>
          <a:ext cx="76200" cy="1197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85725</xdr:colOff>
      <xdr:row>15</xdr:row>
      <xdr:rowOff>253558</xdr:rowOff>
    </xdr:to>
    <xdr:sp macro="" textlink="">
      <xdr:nvSpPr>
        <xdr:cNvPr id="1079" name="Text Box 11">
          <a:extLst>
            <a:ext uri="{FF2B5EF4-FFF2-40B4-BE49-F238E27FC236}">
              <a16:creationId xmlns="" xmlns:a16="http://schemas.microsoft.com/office/drawing/2014/main" id="{E6D56726-3D06-403B-810D-DEDBEE2B6199}"/>
            </a:ext>
          </a:extLst>
        </xdr:cNvPr>
        <xdr:cNvSpPr txBox="1">
          <a:spLocks noChangeArrowheads="1"/>
        </xdr:cNvSpPr>
      </xdr:nvSpPr>
      <xdr:spPr bwMode="auto">
        <a:xfrm>
          <a:off x="4286250" y="2981325"/>
          <a:ext cx="76200" cy="1197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85725</xdr:colOff>
      <xdr:row>15</xdr:row>
      <xdr:rowOff>253558</xdr:rowOff>
    </xdr:to>
    <xdr:sp macro="" textlink="">
      <xdr:nvSpPr>
        <xdr:cNvPr id="1080" name="Text Box 12">
          <a:extLst>
            <a:ext uri="{FF2B5EF4-FFF2-40B4-BE49-F238E27FC236}">
              <a16:creationId xmlns="" xmlns:a16="http://schemas.microsoft.com/office/drawing/2014/main" id="{9AD516F5-BA8B-4656-B7AF-C401937F28C6}"/>
            </a:ext>
          </a:extLst>
        </xdr:cNvPr>
        <xdr:cNvSpPr txBox="1">
          <a:spLocks noChangeArrowheads="1"/>
        </xdr:cNvSpPr>
      </xdr:nvSpPr>
      <xdr:spPr bwMode="auto">
        <a:xfrm>
          <a:off x="4286250" y="2981325"/>
          <a:ext cx="76200" cy="1197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85725</xdr:colOff>
      <xdr:row>15</xdr:row>
      <xdr:rowOff>253558</xdr:rowOff>
    </xdr:to>
    <xdr:sp macro="" textlink="">
      <xdr:nvSpPr>
        <xdr:cNvPr id="1081" name="Text Box 10">
          <a:extLst>
            <a:ext uri="{FF2B5EF4-FFF2-40B4-BE49-F238E27FC236}">
              <a16:creationId xmlns="" xmlns:a16="http://schemas.microsoft.com/office/drawing/2014/main" id="{AEFEB44B-444B-4778-81AE-C6F2447BA53E}"/>
            </a:ext>
          </a:extLst>
        </xdr:cNvPr>
        <xdr:cNvSpPr txBox="1">
          <a:spLocks noChangeArrowheads="1"/>
        </xdr:cNvSpPr>
      </xdr:nvSpPr>
      <xdr:spPr bwMode="auto">
        <a:xfrm>
          <a:off x="4286250" y="2981325"/>
          <a:ext cx="76200" cy="1197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85725</xdr:colOff>
      <xdr:row>15</xdr:row>
      <xdr:rowOff>253558</xdr:rowOff>
    </xdr:to>
    <xdr:sp macro="" textlink="">
      <xdr:nvSpPr>
        <xdr:cNvPr id="1082" name="Text Box 11">
          <a:extLst>
            <a:ext uri="{FF2B5EF4-FFF2-40B4-BE49-F238E27FC236}">
              <a16:creationId xmlns="" xmlns:a16="http://schemas.microsoft.com/office/drawing/2014/main" id="{8E09A568-3C91-4887-AF0E-02976AE9D316}"/>
            </a:ext>
          </a:extLst>
        </xdr:cNvPr>
        <xdr:cNvSpPr txBox="1">
          <a:spLocks noChangeArrowheads="1"/>
        </xdr:cNvSpPr>
      </xdr:nvSpPr>
      <xdr:spPr bwMode="auto">
        <a:xfrm>
          <a:off x="4286250" y="2981325"/>
          <a:ext cx="76200" cy="1197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85725</xdr:colOff>
      <xdr:row>15</xdr:row>
      <xdr:rowOff>253558</xdr:rowOff>
    </xdr:to>
    <xdr:sp macro="" textlink="">
      <xdr:nvSpPr>
        <xdr:cNvPr id="1083" name="Text Box 12">
          <a:extLst>
            <a:ext uri="{FF2B5EF4-FFF2-40B4-BE49-F238E27FC236}">
              <a16:creationId xmlns="" xmlns:a16="http://schemas.microsoft.com/office/drawing/2014/main" id="{0FAE1CDB-AD0F-489F-A646-5D687AE152AE}"/>
            </a:ext>
          </a:extLst>
        </xdr:cNvPr>
        <xdr:cNvSpPr txBox="1">
          <a:spLocks noChangeArrowheads="1"/>
        </xdr:cNvSpPr>
      </xdr:nvSpPr>
      <xdr:spPr bwMode="auto">
        <a:xfrm>
          <a:off x="4286250" y="2981325"/>
          <a:ext cx="76200" cy="1197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85725</xdr:colOff>
      <xdr:row>15</xdr:row>
      <xdr:rowOff>253558</xdr:rowOff>
    </xdr:to>
    <xdr:sp macro="" textlink="">
      <xdr:nvSpPr>
        <xdr:cNvPr id="1084" name="Text Box 10">
          <a:extLst>
            <a:ext uri="{FF2B5EF4-FFF2-40B4-BE49-F238E27FC236}">
              <a16:creationId xmlns="" xmlns:a16="http://schemas.microsoft.com/office/drawing/2014/main" id="{64636589-6B38-4A11-BA42-73F047A1490C}"/>
            </a:ext>
          </a:extLst>
        </xdr:cNvPr>
        <xdr:cNvSpPr txBox="1">
          <a:spLocks noChangeArrowheads="1"/>
        </xdr:cNvSpPr>
      </xdr:nvSpPr>
      <xdr:spPr bwMode="auto">
        <a:xfrm>
          <a:off x="4286250" y="2981325"/>
          <a:ext cx="76200" cy="1197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85725</xdr:colOff>
      <xdr:row>15</xdr:row>
      <xdr:rowOff>253558</xdr:rowOff>
    </xdr:to>
    <xdr:sp macro="" textlink="">
      <xdr:nvSpPr>
        <xdr:cNvPr id="1085" name="Text Box 11">
          <a:extLst>
            <a:ext uri="{FF2B5EF4-FFF2-40B4-BE49-F238E27FC236}">
              <a16:creationId xmlns="" xmlns:a16="http://schemas.microsoft.com/office/drawing/2014/main" id="{3C2700CF-AFF1-4017-AEA6-791BD463C172}"/>
            </a:ext>
          </a:extLst>
        </xdr:cNvPr>
        <xdr:cNvSpPr txBox="1">
          <a:spLocks noChangeArrowheads="1"/>
        </xdr:cNvSpPr>
      </xdr:nvSpPr>
      <xdr:spPr bwMode="auto">
        <a:xfrm>
          <a:off x="4286250" y="2981325"/>
          <a:ext cx="76200" cy="1197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85725</xdr:colOff>
      <xdr:row>15</xdr:row>
      <xdr:rowOff>253558</xdr:rowOff>
    </xdr:to>
    <xdr:sp macro="" textlink="">
      <xdr:nvSpPr>
        <xdr:cNvPr id="1086" name="Text Box 12">
          <a:extLst>
            <a:ext uri="{FF2B5EF4-FFF2-40B4-BE49-F238E27FC236}">
              <a16:creationId xmlns="" xmlns:a16="http://schemas.microsoft.com/office/drawing/2014/main" id="{A132DDCA-F89C-4E10-AD5C-F296925F6EC9}"/>
            </a:ext>
          </a:extLst>
        </xdr:cNvPr>
        <xdr:cNvSpPr txBox="1">
          <a:spLocks noChangeArrowheads="1"/>
        </xdr:cNvSpPr>
      </xdr:nvSpPr>
      <xdr:spPr bwMode="auto">
        <a:xfrm>
          <a:off x="4286250" y="2981325"/>
          <a:ext cx="76200" cy="1197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85725</xdr:colOff>
      <xdr:row>15</xdr:row>
      <xdr:rowOff>253558</xdr:rowOff>
    </xdr:to>
    <xdr:sp macro="" textlink="">
      <xdr:nvSpPr>
        <xdr:cNvPr id="1087" name="Text Box 10">
          <a:extLst>
            <a:ext uri="{FF2B5EF4-FFF2-40B4-BE49-F238E27FC236}">
              <a16:creationId xmlns="" xmlns:a16="http://schemas.microsoft.com/office/drawing/2014/main" id="{FBF8C42F-A0FA-43A2-AB7A-5C0B0047FD8B}"/>
            </a:ext>
          </a:extLst>
        </xdr:cNvPr>
        <xdr:cNvSpPr txBox="1">
          <a:spLocks noChangeArrowheads="1"/>
        </xdr:cNvSpPr>
      </xdr:nvSpPr>
      <xdr:spPr bwMode="auto">
        <a:xfrm>
          <a:off x="4286250" y="2981325"/>
          <a:ext cx="76200" cy="1197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85725</xdr:colOff>
      <xdr:row>15</xdr:row>
      <xdr:rowOff>253558</xdr:rowOff>
    </xdr:to>
    <xdr:sp macro="" textlink="">
      <xdr:nvSpPr>
        <xdr:cNvPr id="1088" name="Text Box 11">
          <a:extLst>
            <a:ext uri="{FF2B5EF4-FFF2-40B4-BE49-F238E27FC236}">
              <a16:creationId xmlns="" xmlns:a16="http://schemas.microsoft.com/office/drawing/2014/main" id="{7CDF782C-F92A-4C84-8CC6-71925C9DC35D}"/>
            </a:ext>
          </a:extLst>
        </xdr:cNvPr>
        <xdr:cNvSpPr txBox="1">
          <a:spLocks noChangeArrowheads="1"/>
        </xdr:cNvSpPr>
      </xdr:nvSpPr>
      <xdr:spPr bwMode="auto">
        <a:xfrm>
          <a:off x="4286250" y="2981325"/>
          <a:ext cx="76200" cy="1197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85725</xdr:colOff>
      <xdr:row>15</xdr:row>
      <xdr:rowOff>253558</xdr:rowOff>
    </xdr:to>
    <xdr:sp macro="" textlink="">
      <xdr:nvSpPr>
        <xdr:cNvPr id="1089" name="Text Box 12">
          <a:extLst>
            <a:ext uri="{FF2B5EF4-FFF2-40B4-BE49-F238E27FC236}">
              <a16:creationId xmlns="" xmlns:a16="http://schemas.microsoft.com/office/drawing/2014/main" id="{B8DC252A-48BF-4CA4-B606-C20C4E6BB61A}"/>
            </a:ext>
          </a:extLst>
        </xdr:cNvPr>
        <xdr:cNvSpPr txBox="1">
          <a:spLocks noChangeArrowheads="1"/>
        </xdr:cNvSpPr>
      </xdr:nvSpPr>
      <xdr:spPr bwMode="auto">
        <a:xfrm>
          <a:off x="4286250" y="2981325"/>
          <a:ext cx="76200" cy="1197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85725</xdr:colOff>
      <xdr:row>15</xdr:row>
      <xdr:rowOff>253558</xdr:rowOff>
    </xdr:to>
    <xdr:sp macro="" textlink="">
      <xdr:nvSpPr>
        <xdr:cNvPr id="1090" name="Text Box 10">
          <a:extLst>
            <a:ext uri="{FF2B5EF4-FFF2-40B4-BE49-F238E27FC236}">
              <a16:creationId xmlns="" xmlns:a16="http://schemas.microsoft.com/office/drawing/2014/main" id="{4534B092-196B-461C-B0EB-6125946D19FF}"/>
            </a:ext>
          </a:extLst>
        </xdr:cNvPr>
        <xdr:cNvSpPr txBox="1">
          <a:spLocks noChangeArrowheads="1"/>
        </xdr:cNvSpPr>
      </xdr:nvSpPr>
      <xdr:spPr bwMode="auto">
        <a:xfrm>
          <a:off x="4286250" y="2981325"/>
          <a:ext cx="76200" cy="1197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85725</xdr:colOff>
      <xdr:row>15</xdr:row>
      <xdr:rowOff>253558</xdr:rowOff>
    </xdr:to>
    <xdr:sp macro="" textlink="">
      <xdr:nvSpPr>
        <xdr:cNvPr id="1091" name="Text Box 11">
          <a:extLst>
            <a:ext uri="{FF2B5EF4-FFF2-40B4-BE49-F238E27FC236}">
              <a16:creationId xmlns="" xmlns:a16="http://schemas.microsoft.com/office/drawing/2014/main" id="{EA85758A-BE14-469F-B642-3EC9BA002783}"/>
            </a:ext>
          </a:extLst>
        </xdr:cNvPr>
        <xdr:cNvSpPr txBox="1">
          <a:spLocks noChangeArrowheads="1"/>
        </xdr:cNvSpPr>
      </xdr:nvSpPr>
      <xdr:spPr bwMode="auto">
        <a:xfrm>
          <a:off x="4286250" y="2981325"/>
          <a:ext cx="76200" cy="1197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85725</xdr:colOff>
      <xdr:row>15</xdr:row>
      <xdr:rowOff>253558</xdr:rowOff>
    </xdr:to>
    <xdr:sp macro="" textlink="">
      <xdr:nvSpPr>
        <xdr:cNvPr id="1092" name="Text Box 12">
          <a:extLst>
            <a:ext uri="{FF2B5EF4-FFF2-40B4-BE49-F238E27FC236}">
              <a16:creationId xmlns="" xmlns:a16="http://schemas.microsoft.com/office/drawing/2014/main" id="{880CDDFC-7EAA-446C-A03A-4D575C9C76D6}"/>
            </a:ext>
          </a:extLst>
        </xdr:cNvPr>
        <xdr:cNvSpPr txBox="1">
          <a:spLocks noChangeArrowheads="1"/>
        </xdr:cNvSpPr>
      </xdr:nvSpPr>
      <xdr:spPr bwMode="auto">
        <a:xfrm>
          <a:off x="4286250" y="2981325"/>
          <a:ext cx="76200" cy="1197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85725</xdr:colOff>
      <xdr:row>15</xdr:row>
      <xdr:rowOff>253558</xdr:rowOff>
    </xdr:to>
    <xdr:sp macro="" textlink="">
      <xdr:nvSpPr>
        <xdr:cNvPr id="1093" name="Text Box 10">
          <a:extLst>
            <a:ext uri="{FF2B5EF4-FFF2-40B4-BE49-F238E27FC236}">
              <a16:creationId xmlns="" xmlns:a16="http://schemas.microsoft.com/office/drawing/2014/main" id="{5987C48B-79D6-4C01-9D93-283293795955}"/>
            </a:ext>
          </a:extLst>
        </xdr:cNvPr>
        <xdr:cNvSpPr txBox="1">
          <a:spLocks noChangeArrowheads="1"/>
        </xdr:cNvSpPr>
      </xdr:nvSpPr>
      <xdr:spPr bwMode="auto">
        <a:xfrm>
          <a:off x="4286250" y="2981325"/>
          <a:ext cx="76200" cy="1197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85725</xdr:colOff>
      <xdr:row>15</xdr:row>
      <xdr:rowOff>253558</xdr:rowOff>
    </xdr:to>
    <xdr:sp macro="" textlink="">
      <xdr:nvSpPr>
        <xdr:cNvPr id="1094" name="Text Box 11">
          <a:extLst>
            <a:ext uri="{FF2B5EF4-FFF2-40B4-BE49-F238E27FC236}">
              <a16:creationId xmlns="" xmlns:a16="http://schemas.microsoft.com/office/drawing/2014/main" id="{6C214EFC-05A6-49D4-B8D8-5702E4686AA7}"/>
            </a:ext>
          </a:extLst>
        </xdr:cNvPr>
        <xdr:cNvSpPr txBox="1">
          <a:spLocks noChangeArrowheads="1"/>
        </xdr:cNvSpPr>
      </xdr:nvSpPr>
      <xdr:spPr bwMode="auto">
        <a:xfrm>
          <a:off x="4286250" y="2981325"/>
          <a:ext cx="76200" cy="1197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85725</xdr:colOff>
      <xdr:row>15</xdr:row>
      <xdr:rowOff>253558</xdr:rowOff>
    </xdr:to>
    <xdr:sp macro="" textlink="">
      <xdr:nvSpPr>
        <xdr:cNvPr id="1095" name="Text Box 12">
          <a:extLst>
            <a:ext uri="{FF2B5EF4-FFF2-40B4-BE49-F238E27FC236}">
              <a16:creationId xmlns="" xmlns:a16="http://schemas.microsoft.com/office/drawing/2014/main" id="{3CDF95F4-F798-4120-A43F-3D718A9C6D9C}"/>
            </a:ext>
          </a:extLst>
        </xdr:cNvPr>
        <xdr:cNvSpPr txBox="1">
          <a:spLocks noChangeArrowheads="1"/>
        </xdr:cNvSpPr>
      </xdr:nvSpPr>
      <xdr:spPr bwMode="auto">
        <a:xfrm>
          <a:off x="4286250" y="2981325"/>
          <a:ext cx="76200" cy="1197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85725</xdr:colOff>
      <xdr:row>15</xdr:row>
      <xdr:rowOff>253558</xdr:rowOff>
    </xdr:to>
    <xdr:sp macro="" textlink="">
      <xdr:nvSpPr>
        <xdr:cNvPr id="1096" name="Text Box 10">
          <a:extLst>
            <a:ext uri="{FF2B5EF4-FFF2-40B4-BE49-F238E27FC236}">
              <a16:creationId xmlns="" xmlns:a16="http://schemas.microsoft.com/office/drawing/2014/main" id="{749DA5B9-5094-4DF7-B113-B8FB916FF8A5}"/>
            </a:ext>
          </a:extLst>
        </xdr:cNvPr>
        <xdr:cNvSpPr txBox="1">
          <a:spLocks noChangeArrowheads="1"/>
        </xdr:cNvSpPr>
      </xdr:nvSpPr>
      <xdr:spPr bwMode="auto">
        <a:xfrm>
          <a:off x="4286250" y="2981325"/>
          <a:ext cx="76200" cy="1197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85725</xdr:colOff>
      <xdr:row>15</xdr:row>
      <xdr:rowOff>253558</xdr:rowOff>
    </xdr:to>
    <xdr:sp macro="" textlink="">
      <xdr:nvSpPr>
        <xdr:cNvPr id="1097" name="Text Box 11">
          <a:extLst>
            <a:ext uri="{FF2B5EF4-FFF2-40B4-BE49-F238E27FC236}">
              <a16:creationId xmlns="" xmlns:a16="http://schemas.microsoft.com/office/drawing/2014/main" id="{101E3690-4F87-4ADF-B852-7BBFDA675881}"/>
            </a:ext>
          </a:extLst>
        </xdr:cNvPr>
        <xdr:cNvSpPr txBox="1">
          <a:spLocks noChangeArrowheads="1"/>
        </xdr:cNvSpPr>
      </xdr:nvSpPr>
      <xdr:spPr bwMode="auto">
        <a:xfrm>
          <a:off x="4286250" y="2981325"/>
          <a:ext cx="76200" cy="1197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85725</xdr:colOff>
      <xdr:row>15</xdr:row>
      <xdr:rowOff>253558</xdr:rowOff>
    </xdr:to>
    <xdr:sp macro="" textlink="">
      <xdr:nvSpPr>
        <xdr:cNvPr id="1098" name="Text Box 12">
          <a:extLst>
            <a:ext uri="{FF2B5EF4-FFF2-40B4-BE49-F238E27FC236}">
              <a16:creationId xmlns="" xmlns:a16="http://schemas.microsoft.com/office/drawing/2014/main" id="{516CD5E9-AAFB-4C08-87EC-425DBF818FA5}"/>
            </a:ext>
          </a:extLst>
        </xdr:cNvPr>
        <xdr:cNvSpPr txBox="1">
          <a:spLocks noChangeArrowheads="1"/>
        </xdr:cNvSpPr>
      </xdr:nvSpPr>
      <xdr:spPr bwMode="auto">
        <a:xfrm>
          <a:off x="4286250" y="2981325"/>
          <a:ext cx="76200" cy="1197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85725</xdr:colOff>
      <xdr:row>15</xdr:row>
      <xdr:rowOff>253558</xdr:rowOff>
    </xdr:to>
    <xdr:sp macro="" textlink="">
      <xdr:nvSpPr>
        <xdr:cNvPr id="1099" name="Text Box 10">
          <a:extLst>
            <a:ext uri="{FF2B5EF4-FFF2-40B4-BE49-F238E27FC236}">
              <a16:creationId xmlns="" xmlns:a16="http://schemas.microsoft.com/office/drawing/2014/main" id="{111A43F7-EFED-49D3-8D18-A201CCFD5529}"/>
            </a:ext>
          </a:extLst>
        </xdr:cNvPr>
        <xdr:cNvSpPr txBox="1">
          <a:spLocks noChangeArrowheads="1"/>
        </xdr:cNvSpPr>
      </xdr:nvSpPr>
      <xdr:spPr bwMode="auto">
        <a:xfrm>
          <a:off x="4286250" y="2981325"/>
          <a:ext cx="76200" cy="1197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85725</xdr:colOff>
      <xdr:row>15</xdr:row>
      <xdr:rowOff>253558</xdr:rowOff>
    </xdr:to>
    <xdr:sp macro="" textlink="">
      <xdr:nvSpPr>
        <xdr:cNvPr id="1100" name="Text Box 11">
          <a:extLst>
            <a:ext uri="{FF2B5EF4-FFF2-40B4-BE49-F238E27FC236}">
              <a16:creationId xmlns="" xmlns:a16="http://schemas.microsoft.com/office/drawing/2014/main" id="{227D7BFC-FFA7-4E7D-A9A5-A196D183EA6B}"/>
            </a:ext>
          </a:extLst>
        </xdr:cNvPr>
        <xdr:cNvSpPr txBox="1">
          <a:spLocks noChangeArrowheads="1"/>
        </xdr:cNvSpPr>
      </xdr:nvSpPr>
      <xdr:spPr bwMode="auto">
        <a:xfrm>
          <a:off x="4286250" y="2981325"/>
          <a:ext cx="76200" cy="1197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85725</xdr:colOff>
      <xdr:row>15</xdr:row>
      <xdr:rowOff>253558</xdr:rowOff>
    </xdr:to>
    <xdr:sp macro="" textlink="">
      <xdr:nvSpPr>
        <xdr:cNvPr id="1101" name="Text Box 12">
          <a:extLst>
            <a:ext uri="{FF2B5EF4-FFF2-40B4-BE49-F238E27FC236}">
              <a16:creationId xmlns="" xmlns:a16="http://schemas.microsoft.com/office/drawing/2014/main" id="{A5F2F994-B133-4063-A424-E1DFDE0E5DC8}"/>
            </a:ext>
          </a:extLst>
        </xdr:cNvPr>
        <xdr:cNvSpPr txBox="1">
          <a:spLocks noChangeArrowheads="1"/>
        </xdr:cNvSpPr>
      </xdr:nvSpPr>
      <xdr:spPr bwMode="auto">
        <a:xfrm>
          <a:off x="4286250" y="2981325"/>
          <a:ext cx="76200" cy="1197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85725</xdr:colOff>
      <xdr:row>15</xdr:row>
      <xdr:rowOff>253558</xdr:rowOff>
    </xdr:to>
    <xdr:sp macro="" textlink="">
      <xdr:nvSpPr>
        <xdr:cNvPr id="1102" name="Text Box 10">
          <a:extLst>
            <a:ext uri="{FF2B5EF4-FFF2-40B4-BE49-F238E27FC236}">
              <a16:creationId xmlns="" xmlns:a16="http://schemas.microsoft.com/office/drawing/2014/main" id="{54DE11FC-BD3A-4409-8F4F-A951CEC6B59C}"/>
            </a:ext>
          </a:extLst>
        </xdr:cNvPr>
        <xdr:cNvSpPr txBox="1">
          <a:spLocks noChangeArrowheads="1"/>
        </xdr:cNvSpPr>
      </xdr:nvSpPr>
      <xdr:spPr bwMode="auto">
        <a:xfrm>
          <a:off x="4286250" y="2981325"/>
          <a:ext cx="76200" cy="1197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85725</xdr:colOff>
      <xdr:row>15</xdr:row>
      <xdr:rowOff>253558</xdr:rowOff>
    </xdr:to>
    <xdr:sp macro="" textlink="">
      <xdr:nvSpPr>
        <xdr:cNvPr id="1103" name="Text Box 11">
          <a:extLst>
            <a:ext uri="{FF2B5EF4-FFF2-40B4-BE49-F238E27FC236}">
              <a16:creationId xmlns="" xmlns:a16="http://schemas.microsoft.com/office/drawing/2014/main" id="{83F05E71-2FA9-489C-AABD-2D5964C13BE4}"/>
            </a:ext>
          </a:extLst>
        </xdr:cNvPr>
        <xdr:cNvSpPr txBox="1">
          <a:spLocks noChangeArrowheads="1"/>
        </xdr:cNvSpPr>
      </xdr:nvSpPr>
      <xdr:spPr bwMode="auto">
        <a:xfrm>
          <a:off x="4286250" y="2981325"/>
          <a:ext cx="76200" cy="1197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9525</xdr:colOff>
      <xdr:row>12</xdr:row>
      <xdr:rowOff>0</xdr:rowOff>
    </xdr:from>
    <xdr:to>
      <xdr:col>4</xdr:col>
      <xdr:colOff>85725</xdr:colOff>
      <xdr:row>15</xdr:row>
      <xdr:rowOff>253558</xdr:rowOff>
    </xdr:to>
    <xdr:sp macro="" textlink="">
      <xdr:nvSpPr>
        <xdr:cNvPr id="1104" name="Text Box 12">
          <a:extLst>
            <a:ext uri="{FF2B5EF4-FFF2-40B4-BE49-F238E27FC236}">
              <a16:creationId xmlns="" xmlns:a16="http://schemas.microsoft.com/office/drawing/2014/main" id="{382F527E-B9C0-4E00-9751-3A5E15FFBFB5}"/>
            </a:ext>
          </a:extLst>
        </xdr:cNvPr>
        <xdr:cNvSpPr txBox="1">
          <a:spLocks noChangeArrowheads="1"/>
        </xdr:cNvSpPr>
      </xdr:nvSpPr>
      <xdr:spPr bwMode="auto">
        <a:xfrm>
          <a:off x="4286250" y="2981325"/>
          <a:ext cx="76200" cy="1197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105" name="Text Box 10">
          <a:extLst>
            <a:ext uri="{FF2B5EF4-FFF2-40B4-BE49-F238E27FC236}">
              <a16:creationId xmlns="" xmlns:a16="http://schemas.microsoft.com/office/drawing/2014/main" id="{EE338F66-27B8-4419-BE70-D2F98BF713A4}"/>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106" name="Text Box 11">
          <a:extLst>
            <a:ext uri="{FF2B5EF4-FFF2-40B4-BE49-F238E27FC236}">
              <a16:creationId xmlns="" xmlns:a16="http://schemas.microsoft.com/office/drawing/2014/main" id="{C4E4B59C-26EC-4692-8217-5A1BC165DC20}"/>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107" name="Text Box 12">
          <a:extLst>
            <a:ext uri="{FF2B5EF4-FFF2-40B4-BE49-F238E27FC236}">
              <a16:creationId xmlns="" xmlns:a16="http://schemas.microsoft.com/office/drawing/2014/main" id="{3BC2AC52-D90E-469B-AC3B-3E09007F49F2}"/>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108" name="Text Box 10">
          <a:extLst>
            <a:ext uri="{FF2B5EF4-FFF2-40B4-BE49-F238E27FC236}">
              <a16:creationId xmlns="" xmlns:a16="http://schemas.microsoft.com/office/drawing/2014/main" id="{4AE78378-0890-4E50-971D-4DA771F3094E}"/>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109" name="Text Box 11">
          <a:extLst>
            <a:ext uri="{FF2B5EF4-FFF2-40B4-BE49-F238E27FC236}">
              <a16:creationId xmlns="" xmlns:a16="http://schemas.microsoft.com/office/drawing/2014/main" id="{CBBC3109-B5CD-4225-9178-BA0647E20770}"/>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110" name="Text Box 12">
          <a:extLst>
            <a:ext uri="{FF2B5EF4-FFF2-40B4-BE49-F238E27FC236}">
              <a16:creationId xmlns="" xmlns:a16="http://schemas.microsoft.com/office/drawing/2014/main" id="{25023F64-4E05-48F1-8F4B-1FE76E40B8A4}"/>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111" name="Text Box 10">
          <a:extLst>
            <a:ext uri="{FF2B5EF4-FFF2-40B4-BE49-F238E27FC236}">
              <a16:creationId xmlns="" xmlns:a16="http://schemas.microsoft.com/office/drawing/2014/main" id="{AF2DA6F2-A7CD-41EC-9B92-060916CD0EAE}"/>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112" name="Text Box 11">
          <a:extLst>
            <a:ext uri="{FF2B5EF4-FFF2-40B4-BE49-F238E27FC236}">
              <a16:creationId xmlns="" xmlns:a16="http://schemas.microsoft.com/office/drawing/2014/main" id="{B4CFA089-041E-4B82-AA53-4D04E539FB36}"/>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113" name="Text Box 12">
          <a:extLst>
            <a:ext uri="{FF2B5EF4-FFF2-40B4-BE49-F238E27FC236}">
              <a16:creationId xmlns="" xmlns:a16="http://schemas.microsoft.com/office/drawing/2014/main" id="{560596F1-1CAA-41D7-8D44-14E66CEF8FD1}"/>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114" name="Text Box 10">
          <a:extLst>
            <a:ext uri="{FF2B5EF4-FFF2-40B4-BE49-F238E27FC236}">
              <a16:creationId xmlns="" xmlns:a16="http://schemas.microsoft.com/office/drawing/2014/main" id="{C6DEE853-31A8-4B90-BD45-4E4EE9267624}"/>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115" name="Text Box 11">
          <a:extLst>
            <a:ext uri="{FF2B5EF4-FFF2-40B4-BE49-F238E27FC236}">
              <a16:creationId xmlns="" xmlns:a16="http://schemas.microsoft.com/office/drawing/2014/main" id="{C44D0C65-3416-4BEE-A4CF-37F0466F4908}"/>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116" name="Text Box 12">
          <a:extLst>
            <a:ext uri="{FF2B5EF4-FFF2-40B4-BE49-F238E27FC236}">
              <a16:creationId xmlns="" xmlns:a16="http://schemas.microsoft.com/office/drawing/2014/main" id="{CF679A24-C7DB-4A29-A2CE-35DCE3026909}"/>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117" name="Text Box 10">
          <a:extLst>
            <a:ext uri="{FF2B5EF4-FFF2-40B4-BE49-F238E27FC236}">
              <a16:creationId xmlns="" xmlns:a16="http://schemas.microsoft.com/office/drawing/2014/main" id="{DACD8838-32D3-48C3-B7FA-63A47907DC95}"/>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118" name="Text Box 11">
          <a:extLst>
            <a:ext uri="{FF2B5EF4-FFF2-40B4-BE49-F238E27FC236}">
              <a16:creationId xmlns="" xmlns:a16="http://schemas.microsoft.com/office/drawing/2014/main" id="{932E3035-DC8C-45F2-946C-AC64BE233503}"/>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119" name="Text Box 12">
          <a:extLst>
            <a:ext uri="{FF2B5EF4-FFF2-40B4-BE49-F238E27FC236}">
              <a16:creationId xmlns="" xmlns:a16="http://schemas.microsoft.com/office/drawing/2014/main" id="{94C8191A-CED5-4AD1-AEE5-4E3DA4C62FFD}"/>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120" name="Text Box 10">
          <a:extLst>
            <a:ext uri="{FF2B5EF4-FFF2-40B4-BE49-F238E27FC236}">
              <a16:creationId xmlns="" xmlns:a16="http://schemas.microsoft.com/office/drawing/2014/main" id="{979C5597-0D7E-4F4F-AC05-887D509650E3}"/>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121" name="Text Box 11">
          <a:extLst>
            <a:ext uri="{FF2B5EF4-FFF2-40B4-BE49-F238E27FC236}">
              <a16:creationId xmlns="" xmlns:a16="http://schemas.microsoft.com/office/drawing/2014/main" id="{F7253578-440A-4524-ACE7-8E14744EF92B}"/>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122" name="Text Box 12">
          <a:extLst>
            <a:ext uri="{FF2B5EF4-FFF2-40B4-BE49-F238E27FC236}">
              <a16:creationId xmlns="" xmlns:a16="http://schemas.microsoft.com/office/drawing/2014/main" id="{6418EE29-B217-494E-B6D6-5C49526506F4}"/>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123" name="Text Box 10">
          <a:extLst>
            <a:ext uri="{FF2B5EF4-FFF2-40B4-BE49-F238E27FC236}">
              <a16:creationId xmlns="" xmlns:a16="http://schemas.microsoft.com/office/drawing/2014/main" id="{55575839-65DA-4A33-9333-AC3C996F1814}"/>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124" name="Text Box 11">
          <a:extLst>
            <a:ext uri="{FF2B5EF4-FFF2-40B4-BE49-F238E27FC236}">
              <a16:creationId xmlns="" xmlns:a16="http://schemas.microsoft.com/office/drawing/2014/main" id="{714AC25A-9BE6-4DEC-B048-3A2A292E2E9C}"/>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125" name="Text Box 12">
          <a:extLst>
            <a:ext uri="{FF2B5EF4-FFF2-40B4-BE49-F238E27FC236}">
              <a16:creationId xmlns="" xmlns:a16="http://schemas.microsoft.com/office/drawing/2014/main" id="{348A48E1-BEEE-4107-9E98-E1C00A26A907}"/>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126" name="Text Box 10">
          <a:extLst>
            <a:ext uri="{FF2B5EF4-FFF2-40B4-BE49-F238E27FC236}">
              <a16:creationId xmlns="" xmlns:a16="http://schemas.microsoft.com/office/drawing/2014/main" id="{171441BF-0209-4793-BE0F-CCE078279BE4}"/>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127" name="Text Box 11">
          <a:extLst>
            <a:ext uri="{FF2B5EF4-FFF2-40B4-BE49-F238E27FC236}">
              <a16:creationId xmlns="" xmlns:a16="http://schemas.microsoft.com/office/drawing/2014/main" id="{9ACE7513-7149-4D65-9DC3-FF84B747C7A7}"/>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128" name="Text Box 12">
          <a:extLst>
            <a:ext uri="{FF2B5EF4-FFF2-40B4-BE49-F238E27FC236}">
              <a16:creationId xmlns="" xmlns:a16="http://schemas.microsoft.com/office/drawing/2014/main" id="{CFF38952-FF94-4210-A8D9-8F38714031D5}"/>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129" name="Text Box 10">
          <a:extLst>
            <a:ext uri="{FF2B5EF4-FFF2-40B4-BE49-F238E27FC236}">
              <a16:creationId xmlns="" xmlns:a16="http://schemas.microsoft.com/office/drawing/2014/main" id="{4DC597EF-D113-4FE9-A78B-98B2C65C9EAA}"/>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130" name="Text Box 11">
          <a:extLst>
            <a:ext uri="{FF2B5EF4-FFF2-40B4-BE49-F238E27FC236}">
              <a16:creationId xmlns="" xmlns:a16="http://schemas.microsoft.com/office/drawing/2014/main" id="{40492AB9-384C-4960-8ED4-3D6D2F48F7E6}"/>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131" name="Text Box 12">
          <a:extLst>
            <a:ext uri="{FF2B5EF4-FFF2-40B4-BE49-F238E27FC236}">
              <a16:creationId xmlns="" xmlns:a16="http://schemas.microsoft.com/office/drawing/2014/main" id="{4FC6D7C4-F248-4565-A7A4-6EF6C0A2FD8A}"/>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132" name="Text Box 10">
          <a:extLst>
            <a:ext uri="{FF2B5EF4-FFF2-40B4-BE49-F238E27FC236}">
              <a16:creationId xmlns="" xmlns:a16="http://schemas.microsoft.com/office/drawing/2014/main" id="{3F84EBED-80F4-4B6D-8483-F89B0B134F80}"/>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133" name="Text Box 11">
          <a:extLst>
            <a:ext uri="{FF2B5EF4-FFF2-40B4-BE49-F238E27FC236}">
              <a16:creationId xmlns="" xmlns:a16="http://schemas.microsoft.com/office/drawing/2014/main" id="{0C94247B-D0CF-47CA-ADE3-898128C3DE68}"/>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134" name="Text Box 12">
          <a:extLst>
            <a:ext uri="{FF2B5EF4-FFF2-40B4-BE49-F238E27FC236}">
              <a16:creationId xmlns="" xmlns:a16="http://schemas.microsoft.com/office/drawing/2014/main" id="{BB0A67BF-F80E-4189-B065-B9BE65C2460D}"/>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135" name="Text Box 10">
          <a:extLst>
            <a:ext uri="{FF2B5EF4-FFF2-40B4-BE49-F238E27FC236}">
              <a16:creationId xmlns="" xmlns:a16="http://schemas.microsoft.com/office/drawing/2014/main" id="{9E105D61-7083-4706-A059-32C19B9D9988}"/>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136" name="Text Box 11">
          <a:extLst>
            <a:ext uri="{FF2B5EF4-FFF2-40B4-BE49-F238E27FC236}">
              <a16:creationId xmlns="" xmlns:a16="http://schemas.microsoft.com/office/drawing/2014/main" id="{5EB3277C-CDBA-4DF7-8B64-82940FAAFBD3}"/>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137" name="Text Box 12">
          <a:extLst>
            <a:ext uri="{FF2B5EF4-FFF2-40B4-BE49-F238E27FC236}">
              <a16:creationId xmlns="" xmlns:a16="http://schemas.microsoft.com/office/drawing/2014/main" id="{88BC5518-8244-4E8A-B5A8-AD1B3725F948}"/>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138" name="Text Box 10">
          <a:extLst>
            <a:ext uri="{FF2B5EF4-FFF2-40B4-BE49-F238E27FC236}">
              <a16:creationId xmlns="" xmlns:a16="http://schemas.microsoft.com/office/drawing/2014/main" id="{93726002-7084-498D-8EAF-451823182741}"/>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139" name="Text Box 11">
          <a:extLst>
            <a:ext uri="{FF2B5EF4-FFF2-40B4-BE49-F238E27FC236}">
              <a16:creationId xmlns="" xmlns:a16="http://schemas.microsoft.com/office/drawing/2014/main" id="{9E026170-CCC7-407F-B7B3-EDAD4F2ABB9B}"/>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140" name="Text Box 12">
          <a:extLst>
            <a:ext uri="{FF2B5EF4-FFF2-40B4-BE49-F238E27FC236}">
              <a16:creationId xmlns="" xmlns:a16="http://schemas.microsoft.com/office/drawing/2014/main" id="{123608D2-66C7-4A69-9CDA-FD17E170885C}"/>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141" name="Text Box 10">
          <a:extLst>
            <a:ext uri="{FF2B5EF4-FFF2-40B4-BE49-F238E27FC236}">
              <a16:creationId xmlns="" xmlns:a16="http://schemas.microsoft.com/office/drawing/2014/main" id="{98465644-0E43-4B5A-B6D2-C60FF5192525}"/>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142" name="Text Box 11">
          <a:extLst>
            <a:ext uri="{FF2B5EF4-FFF2-40B4-BE49-F238E27FC236}">
              <a16:creationId xmlns="" xmlns:a16="http://schemas.microsoft.com/office/drawing/2014/main" id="{83B56383-751C-4885-A0F9-C672B6C2EFF2}"/>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143" name="Text Box 12">
          <a:extLst>
            <a:ext uri="{FF2B5EF4-FFF2-40B4-BE49-F238E27FC236}">
              <a16:creationId xmlns="" xmlns:a16="http://schemas.microsoft.com/office/drawing/2014/main" id="{7F3B0593-93CE-4A7A-847D-E3EAD9C9F8E9}"/>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144" name="Text Box 10">
          <a:extLst>
            <a:ext uri="{FF2B5EF4-FFF2-40B4-BE49-F238E27FC236}">
              <a16:creationId xmlns="" xmlns:a16="http://schemas.microsoft.com/office/drawing/2014/main" id="{8EB1EF07-A826-4831-8848-7A6363314F32}"/>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145" name="Text Box 11">
          <a:extLst>
            <a:ext uri="{FF2B5EF4-FFF2-40B4-BE49-F238E27FC236}">
              <a16:creationId xmlns="" xmlns:a16="http://schemas.microsoft.com/office/drawing/2014/main" id="{D15E42A0-E3D0-4770-B20A-127894941D26}"/>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146" name="Text Box 12">
          <a:extLst>
            <a:ext uri="{FF2B5EF4-FFF2-40B4-BE49-F238E27FC236}">
              <a16:creationId xmlns="" xmlns:a16="http://schemas.microsoft.com/office/drawing/2014/main" id="{BF93F686-8321-42E8-BD80-483F926BE700}"/>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147" name="Text Box 10">
          <a:extLst>
            <a:ext uri="{FF2B5EF4-FFF2-40B4-BE49-F238E27FC236}">
              <a16:creationId xmlns="" xmlns:a16="http://schemas.microsoft.com/office/drawing/2014/main" id="{3D04742F-6B55-4E9C-AB8F-A5866D5290C1}"/>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148" name="Text Box 11">
          <a:extLst>
            <a:ext uri="{FF2B5EF4-FFF2-40B4-BE49-F238E27FC236}">
              <a16:creationId xmlns="" xmlns:a16="http://schemas.microsoft.com/office/drawing/2014/main" id="{68A35EE1-6A91-49CA-977B-88B0643C44CC}"/>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149" name="Text Box 12">
          <a:extLst>
            <a:ext uri="{FF2B5EF4-FFF2-40B4-BE49-F238E27FC236}">
              <a16:creationId xmlns="" xmlns:a16="http://schemas.microsoft.com/office/drawing/2014/main" id="{7541CA86-0890-4893-A22C-852374090820}"/>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150" name="Text Box 10">
          <a:extLst>
            <a:ext uri="{FF2B5EF4-FFF2-40B4-BE49-F238E27FC236}">
              <a16:creationId xmlns="" xmlns:a16="http://schemas.microsoft.com/office/drawing/2014/main" id="{9599851E-BD2D-42CF-8C1F-A3A0F9D3F618}"/>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151" name="Text Box 11">
          <a:extLst>
            <a:ext uri="{FF2B5EF4-FFF2-40B4-BE49-F238E27FC236}">
              <a16:creationId xmlns="" xmlns:a16="http://schemas.microsoft.com/office/drawing/2014/main" id="{23C65203-6E6D-409B-B834-D230E12B2058}"/>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152" name="Text Box 12">
          <a:extLst>
            <a:ext uri="{FF2B5EF4-FFF2-40B4-BE49-F238E27FC236}">
              <a16:creationId xmlns="" xmlns:a16="http://schemas.microsoft.com/office/drawing/2014/main" id="{FF2D94B7-4F4C-49EA-A875-EED5D96CBDFD}"/>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153" name="Text Box 10">
          <a:extLst>
            <a:ext uri="{FF2B5EF4-FFF2-40B4-BE49-F238E27FC236}">
              <a16:creationId xmlns="" xmlns:a16="http://schemas.microsoft.com/office/drawing/2014/main" id="{49BE4EC9-8F22-4785-A4C3-6B8EF82281AF}"/>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154" name="Text Box 11">
          <a:extLst>
            <a:ext uri="{FF2B5EF4-FFF2-40B4-BE49-F238E27FC236}">
              <a16:creationId xmlns="" xmlns:a16="http://schemas.microsoft.com/office/drawing/2014/main" id="{0194EE25-2C36-4AFA-91A3-55A9684F7E97}"/>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155" name="Text Box 12">
          <a:extLst>
            <a:ext uri="{FF2B5EF4-FFF2-40B4-BE49-F238E27FC236}">
              <a16:creationId xmlns="" xmlns:a16="http://schemas.microsoft.com/office/drawing/2014/main" id="{F6127967-BFC0-40A2-AB1A-C1C129FB70DB}"/>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156" name="Text Box 10">
          <a:extLst>
            <a:ext uri="{FF2B5EF4-FFF2-40B4-BE49-F238E27FC236}">
              <a16:creationId xmlns="" xmlns:a16="http://schemas.microsoft.com/office/drawing/2014/main" id="{2041D727-8EB5-476A-9434-30E406A1C64A}"/>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157" name="Text Box 11">
          <a:extLst>
            <a:ext uri="{FF2B5EF4-FFF2-40B4-BE49-F238E27FC236}">
              <a16:creationId xmlns="" xmlns:a16="http://schemas.microsoft.com/office/drawing/2014/main" id="{91AC0CA9-2745-414D-93C1-8542BA72096E}"/>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158" name="Text Box 12">
          <a:extLst>
            <a:ext uri="{FF2B5EF4-FFF2-40B4-BE49-F238E27FC236}">
              <a16:creationId xmlns="" xmlns:a16="http://schemas.microsoft.com/office/drawing/2014/main" id="{DDF0C123-962B-4070-8AE5-ACCBAE0F941F}"/>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159" name="Text Box 10">
          <a:extLst>
            <a:ext uri="{FF2B5EF4-FFF2-40B4-BE49-F238E27FC236}">
              <a16:creationId xmlns="" xmlns:a16="http://schemas.microsoft.com/office/drawing/2014/main" id="{43689901-E62C-4266-A45A-3FB320559E82}"/>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160" name="Text Box 11">
          <a:extLst>
            <a:ext uri="{FF2B5EF4-FFF2-40B4-BE49-F238E27FC236}">
              <a16:creationId xmlns="" xmlns:a16="http://schemas.microsoft.com/office/drawing/2014/main" id="{2EAECC5A-A50E-4A6B-B68A-AB42BF56EB53}"/>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161" name="Text Box 12">
          <a:extLst>
            <a:ext uri="{FF2B5EF4-FFF2-40B4-BE49-F238E27FC236}">
              <a16:creationId xmlns="" xmlns:a16="http://schemas.microsoft.com/office/drawing/2014/main" id="{D49D87A5-CF57-4394-BE2D-A69D91AEE5F1}"/>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162" name="Text Box 10">
          <a:extLst>
            <a:ext uri="{FF2B5EF4-FFF2-40B4-BE49-F238E27FC236}">
              <a16:creationId xmlns="" xmlns:a16="http://schemas.microsoft.com/office/drawing/2014/main" id="{B7787C2A-B3EF-423B-8F10-06FB96A94A81}"/>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163" name="Text Box 11">
          <a:extLst>
            <a:ext uri="{FF2B5EF4-FFF2-40B4-BE49-F238E27FC236}">
              <a16:creationId xmlns="" xmlns:a16="http://schemas.microsoft.com/office/drawing/2014/main" id="{17EEB230-D8A8-4527-98B4-27351131D7A5}"/>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164" name="Text Box 12">
          <a:extLst>
            <a:ext uri="{FF2B5EF4-FFF2-40B4-BE49-F238E27FC236}">
              <a16:creationId xmlns="" xmlns:a16="http://schemas.microsoft.com/office/drawing/2014/main" id="{32D2769D-41A0-4EEE-A736-63307271B93B}"/>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165" name="Text Box 10">
          <a:extLst>
            <a:ext uri="{FF2B5EF4-FFF2-40B4-BE49-F238E27FC236}">
              <a16:creationId xmlns="" xmlns:a16="http://schemas.microsoft.com/office/drawing/2014/main" id="{BAD5916A-6A47-4E1B-AE0C-6A00CDF0CB35}"/>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166" name="Text Box 11">
          <a:extLst>
            <a:ext uri="{FF2B5EF4-FFF2-40B4-BE49-F238E27FC236}">
              <a16:creationId xmlns="" xmlns:a16="http://schemas.microsoft.com/office/drawing/2014/main" id="{FD64C0F3-08D4-40C4-B6BE-1D4EF59464AD}"/>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167" name="Text Box 12">
          <a:extLst>
            <a:ext uri="{FF2B5EF4-FFF2-40B4-BE49-F238E27FC236}">
              <a16:creationId xmlns="" xmlns:a16="http://schemas.microsoft.com/office/drawing/2014/main" id="{56A3F3F0-2CC0-48E6-BB08-E0BDA60B2DE0}"/>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168" name="Text Box 10">
          <a:extLst>
            <a:ext uri="{FF2B5EF4-FFF2-40B4-BE49-F238E27FC236}">
              <a16:creationId xmlns="" xmlns:a16="http://schemas.microsoft.com/office/drawing/2014/main" id="{6C9BA3CD-21AC-4143-B007-ED4BECDFE53E}"/>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169" name="Text Box 11">
          <a:extLst>
            <a:ext uri="{FF2B5EF4-FFF2-40B4-BE49-F238E27FC236}">
              <a16:creationId xmlns="" xmlns:a16="http://schemas.microsoft.com/office/drawing/2014/main" id="{A95CF7CE-132E-4569-B144-78E65DCA2536}"/>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170" name="Text Box 12">
          <a:extLst>
            <a:ext uri="{FF2B5EF4-FFF2-40B4-BE49-F238E27FC236}">
              <a16:creationId xmlns="" xmlns:a16="http://schemas.microsoft.com/office/drawing/2014/main" id="{AA9C9173-CA61-4F9D-96CC-1DB566658F00}"/>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171" name="Text Box 10">
          <a:extLst>
            <a:ext uri="{FF2B5EF4-FFF2-40B4-BE49-F238E27FC236}">
              <a16:creationId xmlns="" xmlns:a16="http://schemas.microsoft.com/office/drawing/2014/main" id="{A6A8BA3B-ECD2-49A4-A248-15296DC22F8C}"/>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172" name="Text Box 11">
          <a:extLst>
            <a:ext uri="{FF2B5EF4-FFF2-40B4-BE49-F238E27FC236}">
              <a16:creationId xmlns="" xmlns:a16="http://schemas.microsoft.com/office/drawing/2014/main" id="{3420DC91-5AA4-4FB0-85D6-8C75A342384E}"/>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173" name="Text Box 12">
          <a:extLst>
            <a:ext uri="{FF2B5EF4-FFF2-40B4-BE49-F238E27FC236}">
              <a16:creationId xmlns="" xmlns:a16="http://schemas.microsoft.com/office/drawing/2014/main" id="{455CF58C-282A-42D8-BDF9-42BF2E475D40}"/>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174" name="Text Box 10">
          <a:extLst>
            <a:ext uri="{FF2B5EF4-FFF2-40B4-BE49-F238E27FC236}">
              <a16:creationId xmlns="" xmlns:a16="http://schemas.microsoft.com/office/drawing/2014/main" id="{32B0F336-7265-4995-ADE1-8A5836DE28DF}"/>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175" name="Text Box 11">
          <a:extLst>
            <a:ext uri="{FF2B5EF4-FFF2-40B4-BE49-F238E27FC236}">
              <a16:creationId xmlns="" xmlns:a16="http://schemas.microsoft.com/office/drawing/2014/main" id="{4F2387DB-3296-4939-8987-86697F824945}"/>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176" name="Text Box 12">
          <a:extLst>
            <a:ext uri="{FF2B5EF4-FFF2-40B4-BE49-F238E27FC236}">
              <a16:creationId xmlns="" xmlns:a16="http://schemas.microsoft.com/office/drawing/2014/main" id="{1961BA5F-8638-4C7A-95FC-B85E8411D52A}"/>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177" name="Text Box 10">
          <a:extLst>
            <a:ext uri="{FF2B5EF4-FFF2-40B4-BE49-F238E27FC236}">
              <a16:creationId xmlns="" xmlns:a16="http://schemas.microsoft.com/office/drawing/2014/main" id="{D113E74E-506A-492B-9E40-A36635E38F10}"/>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178" name="Text Box 11">
          <a:extLst>
            <a:ext uri="{FF2B5EF4-FFF2-40B4-BE49-F238E27FC236}">
              <a16:creationId xmlns="" xmlns:a16="http://schemas.microsoft.com/office/drawing/2014/main" id="{9D244850-4AB3-4251-9EFB-AFBD63647CC8}"/>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179" name="Text Box 12">
          <a:extLst>
            <a:ext uri="{FF2B5EF4-FFF2-40B4-BE49-F238E27FC236}">
              <a16:creationId xmlns="" xmlns:a16="http://schemas.microsoft.com/office/drawing/2014/main" id="{A28C3FBD-E2B4-40AC-BA26-C72E0FCC299D}"/>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180" name="Text Box 10">
          <a:extLst>
            <a:ext uri="{FF2B5EF4-FFF2-40B4-BE49-F238E27FC236}">
              <a16:creationId xmlns="" xmlns:a16="http://schemas.microsoft.com/office/drawing/2014/main" id="{EEDC9022-9D2E-41BC-9A44-FE91598E03E2}"/>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181" name="Text Box 11">
          <a:extLst>
            <a:ext uri="{FF2B5EF4-FFF2-40B4-BE49-F238E27FC236}">
              <a16:creationId xmlns="" xmlns:a16="http://schemas.microsoft.com/office/drawing/2014/main" id="{80005627-E7C6-4246-92AA-507BB401E17B}"/>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182" name="Text Box 12">
          <a:extLst>
            <a:ext uri="{FF2B5EF4-FFF2-40B4-BE49-F238E27FC236}">
              <a16:creationId xmlns="" xmlns:a16="http://schemas.microsoft.com/office/drawing/2014/main" id="{A9724E7C-56D0-4D9E-B024-8A1BA036DD12}"/>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183" name="Text Box 10">
          <a:extLst>
            <a:ext uri="{FF2B5EF4-FFF2-40B4-BE49-F238E27FC236}">
              <a16:creationId xmlns="" xmlns:a16="http://schemas.microsoft.com/office/drawing/2014/main" id="{971F2DD1-31A4-4FB2-8AF7-73041989E725}"/>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184" name="Text Box 11">
          <a:extLst>
            <a:ext uri="{FF2B5EF4-FFF2-40B4-BE49-F238E27FC236}">
              <a16:creationId xmlns="" xmlns:a16="http://schemas.microsoft.com/office/drawing/2014/main" id="{39792E06-CF1B-470A-A39E-95F3439C1DF5}"/>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185" name="Text Box 12">
          <a:extLst>
            <a:ext uri="{FF2B5EF4-FFF2-40B4-BE49-F238E27FC236}">
              <a16:creationId xmlns="" xmlns:a16="http://schemas.microsoft.com/office/drawing/2014/main" id="{8012A928-3EDB-46FB-9EF2-4A510C2A4179}"/>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186" name="Text Box 10">
          <a:extLst>
            <a:ext uri="{FF2B5EF4-FFF2-40B4-BE49-F238E27FC236}">
              <a16:creationId xmlns="" xmlns:a16="http://schemas.microsoft.com/office/drawing/2014/main" id="{413BAD23-56CB-4227-9D9D-BB1DE55ADA5A}"/>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187" name="Text Box 11">
          <a:extLst>
            <a:ext uri="{FF2B5EF4-FFF2-40B4-BE49-F238E27FC236}">
              <a16:creationId xmlns="" xmlns:a16="http://schemas.microsoft.com/office/drawing/2014/main" id="{FBEA78DB-9046-42FA-A278-745F8B8FE880}"/>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188" name="Text Box 12">
          <a:extLst>
            <a:ext uri="{FF2B5EF4-FFF2-40B4-BE49-F238E27FC236}">
              <a16:creationId xmlns="" xmlns:a16="http://schemas.microsoft.com/office/drawing/2014/main" id="{29C75116-D7D7-42E2-AE27-061A849A9140}"/>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189" name="Text Box 10">
          <a:extLst>
            <a:ext uri="{FF2B5EF4-FFF2-40B4-BE49-F238E27FC236}">
              <a16:creationId xmlns="" xmlns:a16="http://schemas.microsoft.com/office/drawing/2014/main" id="{6ED1752E-76AF-4A8B-90C7-CB3B63B0F3E8}"/>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190" name="Text Box 11">
          <a:extLst>
            <a:ext uri="{FF2B5EF4-FFF2-40B4-BE49-F238E27FC236}">
              <a16:creationId xmlns="" xmlns:a16="http://schemas.microsoft.com/office/drawing/2014/main" id="{221D58F7-F975-42F4-8CBB-9F2E8D5719E7}"/>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191" name="Text Box 12">
          <a:extLst>
            <a:ext uri="{FF2B5EF4-FFF2-40B4-BE49-F238E27FC236}">
              <a16:creationId xmlns="" xmlns:a16="http://schemas.microsoft.com/office/drawing/2014/main" id="{7D7E0085-8357-49AC-BDBA-1CC14E9F42A9}"/>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192" name="Text Box 10">
          <a:extLst>
            <a:ext uri="{FF2B5EF4-FFF2-40B4-BE49-F238E27FC236}">
              <a16:creationId xmlns="" xmlns:a16="http://schemas.microsoft.com/office/drawing/2014/main" id="{B676595A-B880-4BAF-B5FD-01D5DF22FBA0}"/>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193" name="Text Box 11">
          <a:extLst>
            <a:ext uri="{FF2B5EF4-FFF2-40B4-BE49-F238E27FC236}">
              <a16:creationId xmlns="" xmlns:a16="http://schemas.microsoft.com/office/drawing/2014/main" id="{3E360E6D-25BF-4CCC-982F-0221B6D0CB81}"/>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194" name="Text Box 12">
          <a:extLst>
            <a:ext uri="{FF2B5EF4-FFF2-40B4-BE49-F238E27FC236}">
              <a16:creationId xmlns="" xmlns:a16="http://schemas.microsoft.com/office/drawing/2014/main" id="{C524793D-F96F-48AD-A2C2-FD3C88FD4FB8}"/>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195" name="Text Box 10">
          <a:extLst>
            <a:ext uri="{FF2B5EF4-FFF2-40B4-BE49-F238E27FC236}">
              <a16:creationId xmlns="" xmlns:a16="http://schemas.microsoft.com/office/drawing/2014/main" id="{A50B89E6-53E8-43F7-BA72-A13674E9E429}"/>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196" name="Text Box 11">
          <a:extLst>
            <a:ext uri="{FF2B5EF4-FFF2-40B4-BE49-F238E27FC236}">
              <a16:creationId xmlns="" xmlns:a16="http://schemas.microsoft.com/office/drawing/2014/main" id="{841BC10D-CAD7-44F6-8E1F-9703469AAAFB}"/>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197" name="Text Box 12">
          <a:extLst>
            <a:ext uri="{FF2B5EF4-FFF2-40B4-BE49-F238E27FC236}">
              <a16:creationId xmlns="" xmlns:a16="http://schemas.microsoft.com/office/drawing/2014/main" id="{13C9C3BD-BD33-4438-84AA-2AD44B2A57B7}"/>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198" name="Text Box 10">
          <a:extLst>
            <a:ext uri="{FF2B5EF4-FFF2-40B4-BE49-F238E27FC236}">
              <a16:creationId xmlns="" xmlns:a16="http://schemas.microsoft.com/office/drawing/2014/main" id="{4A92F0D8-9A2A-4103-9056-AC6931D529B3}"/>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199" name="Text Box 11">
          <a:extLst>
            <a:ext uri="{FF2B5EF4-FFF2-40B4-BE49-F238E27FC236}">
              <a16:creationId xmlns="" xmlns:a16="http://schemas.microsoft.com/office/drawing/2014/main" id="{364F9AA6-4127-4CFB-96AA-48975B0FD16C}"/>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200" name="Text Box 12">
          <a:extLst>
            <a:ext uri="{FF2B5EF4-FFF2-40B4-BE49-F238E27FC236}">
              <a16:creationId xmlns="" xmlns:a16="http://schemas.microsoft.com/office/drawing/2014/main" id="{D2AD0AF2-4F29-4DA8-89E1-2775825950C6}"/>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201" name="Text Box 10">
          <a:extLst>
            <a:ext uri="{FF2B5EF4-FFF2-40B4-BE49-F238E27FC236}">
              <a16:creationId xmlns="" xmlns:a16="http://schemas.microsoft.com/office/drawing/2014/main" id="{05ED6AF4-9064-429A-A2C9-81C539E9EEA1}"/>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202" name="Text Box 11">
          <a:extLst>
            <a:ext uri="{FF2B5EF4-FFF2-40B4-BE49-F238E27FC236}">
              <a16:creationId xmlns="" xmlns:a16="http://schemas.microsoft.com/office/drawing/2014/main" id="{112824CF-01E8-4158-B41D-CA4206EC4B20}"/>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203" name="Text Box 12">
          <a:extLst>
            <a:ext uri="{FF2B5EF4-FFF2-40B4-BE49-F238E27FC236}">
              <a16:creationId xmlns="" xmlns:a16="http://schemas.microsoft.com/office/drawing/2014/main" id="{5AA2C755-C858-4127-AD8F-E5B400168706}"/>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204" name="Text Box 10">
          <a:extLst>
            <a:ext uri="{FF2B5EF4-FFF2-40B4-BE49-F238E27FC236}">
              <a16:creationId xmlns="" xmlns:a16="http://schemas.microsoft.com/office/drawing/2014/main" id="{0EA227C5-07DA-4575-A316-D57F830D3CEF}"/>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205" name="Text Box 11">
          <a:extLst>
            <a:ext uri="{FF2B5EF4-FFF2-40B4-BE49-F238E27FC236}">
              <a16:creationId xmlns="" xmlns:a16="http://schemas.microsoft.com/office/drawing/2014/main" id="{06EEE065-31FF-484C-BAD2-B9C94CCFDFCA}"/>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206" name="Text Box 12">
          <a:extLst>
            <a:ext uri="{FF2B5EF4-FFF2-40B4-BE49-F238E27FC236}">
              <a16:creationId xmlns="" xmlns:a16="http://schemas.microsoft.com/office/drawing/2014/main" id="{3CCD6F66-6C53-4188-8EF8-861F8BB4EB6C}"/>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207" name="Text Box 10">
          <a:extLst>
            <a:ext uri="{FF2B5EF4-FFF2-40B4-BE49-F238E27FC236}">
              <a16:creationId xmlns="" xmlns:a16="http://schemas.microsoft.com/office/drawing/2014/main" id="{6A0CA5DC-BA1D-469C-8FA2-8ADC2E2B7B45}"/>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208" name="Text Box 11">
          <a:extLst>
            <a:ext uri="{FF2B5EF4-FFF2-40B4-BE49-F238E27FC236}">
              <a16:creationId xmlns="" xmlns:a16="http://schemas.microsoft.com/office/drawing/2014/main" id="{831FA1D2-472C-4E3E-BB1F-06FC51BC2527}"/>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209" name="Text Box 12">
          <a:extLst>
            <a:ext uri="{FF2B5EF4-FFF2-40B4-BE49-F238E27FC236}">
              <a16:creationId xmlns="" xmlns:a16="http://schemas.microsoft.com/office/drawing/2014/main" id="{E12A8584-2C34-4EAC-B84E-CF5ABB8D8A07}"/>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210" name="Text Box 10">
          <a:extLst>
            <a:ext uri="{FF2B5EF4-FFF2-40B4-BE49-F238E27FC236}">
              <a16:creationId xmlns="" xmlns:a16="http://schemas.microsoft.com/office/drawing/2014/main" id="{A8C71350-FD16-4718-920E-C17A211D004C}"/>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211" name="Text Box 11">
          <a:extLst>
            <a:ext uri="{FF2B5EF4-FFF2-40B4-BE49-F238E27FC236}">
              <a16:creationId xmlns="" xmlns:a16="http://schemas.microsoft.com/office/drawing/2014/main" id="{870FDD8D-001C-4A65-8FE6-B40A71221301}"/>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212" name="Text Box 12">
          <a:extLst>
            <a:ext uri="{FF2B5EF4-FFF2-40B4-BE49-F238E27FC236}">
              <a16:creationId xmlns="" xmlns:a16="http://schemas.microsoft.com/office/drawing/2014/main" id="{A721976B-6C6B-4366-8D07-C9AD6789F199}"/>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213" name="Text Box 10">
          <a:extLst>
            <a:ext uri="{FF2B5EF4-FFF2-40B4-BE49-F238E27FC236}">
              <a16:creationId xmlns="" xmlns:a16="http://schemas.microsoft.com/office/drawing/2014/main" id="{03C7318F-DA65-4F10-B3CD-0B2472993F24}"/>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214" name="Text Box 11">
          <a:extLst>
            <a:ext uri="{FF2B5EF4-FFF2-40B4-BE49-F238E27FC236}">
              <a16:creationId xmlns="" xmlns:a16="http://schemas.microsoft.com/office/drawing/2014/main" id="{60845881-3686-4353-B397-F9285E8BA55D}"/>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215" name="Text Box 12">
          <a:extLst>
            <a:ext uri="{FF2B5EF4-FFF2-40B4-BE49-F238E27FC236}">
              <a16:creationId xmlns="" xmlns:a16="http://schemas.microsoft.com/office/drawing/2014/main" id="{4A64F69B-3407-413C-B308-36118F3B0B74}"/>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216" name="Text Box 10">
          <a:extLst>
            <a:ext uri="{FF2B5EF4-FFF2-40B4-BE49-F238E27FC236}">
              <a16:creationId xmlns="" xmlns:a16="http://schemas.microsoft.com/office/drawing/2014/main" id="{CDB2F37A-1AFA-4524-B53B-6CF94FCB1406}"/>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217" name="Text Box 11">
          <a:extLst>
            <a:ext uri="{FF2B5EF4-FFF2-40B4-BE49-F238E27FC236}">
              <a16:creationId xmlns="" xmlns:a16="http://schemas.microsoft.com/office/drawing/2014/main" id="{037E7765-E73C-4304-A280-903A4A376149}"/>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218" name="Text Box 12">
          <a:extLst>
            <a:ext uri="{FF2B5EF4-FFF2-40B4-BE49-F238E27FC236}">
              <a16:creationId xmlns="" xmlns:a16="http://schemas.microsoft.com/office/drawing/2014/main" id="{C2C1FA3E-C310-4071-B27F-90851639C693}"/>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219" name="Text Box 10">
          <a:extLst>
            <a:ext uri="{FF2B5EF4-FFF2-40B4-BE49-F238E27FC236}">
              <a16:creationId xmlns="" xmlns:a16="http://schemas.microsoft.com/office/drawing/2014/main" id="{051E57A5-9D28-426E-B996-BAC1B37629ED}"/>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220" name="Text Box 11">
          <a:extLst>
            <a:ext uri="{FF2B5EF4-FFF2-40B4-BE49-F238E27FC236}">
              <a16:creationId xmlns="" xmlns:a16="http://schemas.microsoft.com/office/drawing/2014/main" id="{75C7667C-4478-4A4F-8C1D-19D26173ED6C}"/>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221" name="Text Box 12">
          <a:extLst>
            <a:ext uri="{FF2B5EF4-FFF2-40B4-BE49-F238E27FC236}">
              <a16:creationId xmlns="" xmlns:a16="http://schemas.microsoft.com/office/drawing/2014/main" id="{42C0FAC8-ECE5-48C5-B8F1-DF89DEB2D98D}"/>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222" name="Text Box 10">
          <a:extLst>
            <a:ext uri="{FF2B5EF4-FFF2-40B4-BE49-F238E27FC236}">
              <a16:creationId xmlns="" xmlns:a16="http://schemas.microsoft.com/office/drawing/2014/main" id="{0E348E90-E559-4AC4-A06E-D7B47C1E4B7F}"/>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223" name="Text Box 11">
          <a:extLst>
            <a:ext uri="{FF2B5EF4-FFF2-40B4-BE49-F238E27FC236}">
              <a16:creationId xmlns="" xmlns:a16="http://schemas.microsoft.com/office/drawing/2014/main" id="{E135F300-5FD0-4AD1-BE48-F9DF379AB867}"/>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224" name="Text Box 12">
          <a:extLst>
            <a:ext uri="{FF2B5EF4-FFF2-40B4-BE49-F238E27FC236}">
              <a16:creationId xmlns="" xmlns:a16="http://schemas.microsoft.com/office/drawing/2014/main" id="{4ABE5423-4F11-46B1-9199-3E715683B6F9}"/>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225" name="Text Box 10">
          <a:extLst>
            <a:ext uri="{FF2B5EF4-FFF2-40B4-BE49-F238E27FC236}">
              <a16:creationId xmlns="" xmlns:a16="http://schemas.microsoft.com/office/drawing/2014/main" id="{55B3459C-2D09-42FF-A7ED-7A3091479E2C}"/>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226" name="Text Box 11">
          <a:extLst>
            <a:ext uri="{FF2B5EF4-FFF2-40B4-BE49-F238E27FC236}">
              <a16:creationId xmlns="" xmlns:a16="http://schemas.microsoft.com/office/drawing/2014/main" id="{F5EFDD68-316A-4C84-ADBD-144D6647CC1E}"/>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227" name="Text Box 12">
          <a:extLst>
            <a:ext uri="{FF2B5EF4-FFF2-40B4-BE49-F238E27FC236}">
              <a16:creationId xmlns="" xmlns:a16="http://schemas.microsoft.com/office/drawing/2014/main" id="{932DC72D-E454-4844-9789-6D7F29FBEDFD}"/>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228" name="Text Box 10">
          <a:extLst>
            <a:ext uri="{FF2B5EF4-FFF2-40B4-BE49-F238E27FC236}">
              <a16:creationId xmlns="" xmlns:a16="http://schemas.microsoft.com/office/drawing/2014/main" id="{16A20C32-C3C5-4CEB-B4EB-E6B854573FF7}"/>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229" name="Text Box 11">
          <a:extLst>
            <a:ext uri="{FF2B5EF4-FFF2-40B4-BE49-F238E27FC236}">
              <a16:creationId xmlns="" xmlns:a16="http://schemas.microsoft.com/office/drawing/2014/main" id="{607731C0-5607-4B78-9F05-6E709969CE3B}"/>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230" name="Text Box 12">
          <a:extLst>
            <a:ext uri="{FF2B5EF4-FFF2-40B4-BE49-F238E27FC236}">
              <a16:creationId xmlns="" xmlns:a16="http://schemas.microsoft.com/office/drawing/2014/main" id="{30D0BE27-2394-41D5-A767-FF26F6D0BA2B}"/>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231" name="Text Box 10">
          <a:extLst>
            <a:ext uri="{FF2B5EF4-FFF2-40B4-BE49-F238E27FC236}">
              <a16:creationId xmlns="" xmlns:a16="http://schemas.microsoft.com/office/drawing/2014/main" id="{4B2A3061-C2FF-43C3-97FC-E101793FA120}"/>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232" name="Text Box 11">
          <a:extLst>
            <a:ext uri="{FF2B5EF4-FFF2-40B4-BE49-F238E27FC236}">
              <a16:creationId xmlns="" xmlns:a16="http://schemas.microsoft.com/office/drawing/2014/main" id="{3B40372A-715A-4964-B5A0-82602541713F}"/>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233" name="Text Box 12">
          <a:extLst>
            <a:ext uri="{FF2B5EF4-FFF2-40B4-BE49-F238E27FC236}">
              <a16:creationId xmlns="" xmlns:a16="http://schemas.microsoft.com/office/drawing/2014/main" id="{1040D268-AA52-467F-A626-8ADB43FE2F4E}"/>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234" name="Text Box 10">
          <a:extLst>
            <a:ext uri="{FF2B5EF4-FFF2-40B4-BE49-F238E27FC236}">
              <a16:creationId xmlns="" xmlns:a16="http://schemas.microsoft.com/office/drawing/2014/main" id="{F8541DAC-EF83-4941-A7F4-3B49C532828A}"/>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235" name="Text Box 11">
          <a:extLst>
            <a:ext uri="{FF2B5EF4-FFF2-40B4-BE49-F238E27FC236}">
              <a16:creationId xmlns="" xmlns:a16="http://schemas.microsoft.com/office/drawing/2014/main" id="{599D6491-0E22-4800-8436-9085E7EB4C86}"/>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236" name="Text Box 12">
          <a:extLst>
            <a:ext uri="{FF2B5EF4-FFF2-40B4-BE49-F238E27FC236}">
              <a16:creationId xmlns="" xmlns:a16="http://schemas.microsoft.com/office/drawing/2014/main" id="{84087F90-BC4C-4087-B77A-9D2E587FD21E}"/>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237" name="Text Box 10">
          <a:extLst>
            <a:ext uri="{FF2B5EF4-FFF2-40B4-BE49-F238E27FC236}">
              <a16:creationId xmlns="" xmlns:a16="http://schemas.microsoft.com/office/drawing/2014/main" id="{02A9C853-6583-4E76-B9E0-357434E54594}"/>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238" name="Text Box 11">
          <a:extLst>
            <a:ext uri="{FF2B5EF4-FFF2-40B4-BE49-F238E27FC236}">
              <a16:creationId xmlns="" xmlns:a16="http://schemas.microsoft.com/office/drawing/2014/main" id="{DD99AEEE-24F0-49C5-B8B1-CBCCE97757FB}"/>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239" name="Text Box 12">
          <a:extLst>
            <a:ext uri="{FF2B5EF4-FFF2-40B4-BE49-F238E27FC236}">
              <a16:creationId xmlns="" xmlns:a16="http://schemas.microsoft.com/office/drawing/2014/main" id="{CD5B2BD3-56A8-4CD4-96D4-08FF9351EFEA}"/>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240" name="Text Box 10">
          <a:extLst>
            <a:ext uri="{FF2B5EF4-FFF2-40B4-BE49-F238E27FC236}">
              <a16:creationId xmlns="" xmlns:a16="http://schemas.microsoft.com/office/drawing/2014/main" id="{B91D15E8-D3A5-40AB-94B1-2202EF254D77}"/>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241" name="Text Box 11">
          <a:extLst>
            <a:ext uri="{FF2B5EF4-FFF2-40B4-BE49-F238E27FC236}">
              <a16:creationId xmlns="" xmlns:a16="http://schemas.microsoft.com/office/drawing/2014/main" id="{F843F960-3E7C-44B9-B88A-CC718A9532DF}"/>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242" name="Text Box 12">
          <a:extLst>
            <a:ext uri="{FF2B5EF4-FFF2-40B4-BE49-F238E27FC236}">
              <a16:creationId xmlns="" xmlns:a16="http://schemas.microsoft.com/office/drawing/2014/main" id="{BCC4F0D0-7684-468D-9E4A-3AC18C02C5E0}"/>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243" name="Text Box 10">
          <a:extLst>
            <a:ext uri="{FF2B5EF4-FFF2-40B4-BE49-F238E27FC236}">
              <a16:creationId xmlns="" xmlns:a16="http://schemas.microsoft.com/office/drawing/2014/main" id="{79F7645E-A6AB-4E53-A40C-2489BF7F0260}"/>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244" name="Text Box 11">
          <a:extLst>
            <a:ext uri="{FF2B5EF4-FFF2-40B4-BE49-F238E27FC236}">
              <a16:creationId xmlns="" xmlns:a16="http://schemas.microsoft.com/office/drawing/2014/main" id="{6583DF57-D8A3-4D60-AF2E-89F81C4AB215}"/>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245" name="Text Box 12">
          <a:extLst>
            <a:ext uri="{FF2B5EF4-FFF2-40B4-BE49-F238E27FC236}">
              <a16:creationId xmlns="" xmlns:a16="http://schemas.microsoft.com/office/drawing/2014/main" id="{D60F3069-E10E-4D9C-8E61-9A742B995431}"/>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246" name="Text Box 10">
          <a:extLst>
            <a:ext uri="{FF2B5EF4-FFF2-40B4-BE49-F238E27FC236}">
              <a16:creationId xmlns="" xmlns:a16="http://schemas.microsoft.com/office/drawing/2014/main" id="{944D5F87-5980-4E53-8265-377C3944F9AC}"/>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247" name="Text Box 11">
          <a:extLst>
            <a:ext uri="{FF2B5EF4-FFF2-40B4-BE49-F238E27FC236}">
              <a16:creationId xmlns="" xmlns:a16="http://schemas.microsoft.com/office/drawing/2014/main" id="{B9B2FAA4-B4FB-4077-B81F-0F523949554B}"/>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324762</xdr:rowOff>
    </xdr:to>
    <xdr:sp macro="" textlink="">
      <xdr:nvSpPr>
        <xdr:cNvPr id="1248" name="Text Box 12">
          <a:extLst>
            <a:ext uri="{FF2B5EF4-FFF2-40B4-BE49-F238E27FC236}">
              <a16:creationId xmlns="" xmlns:a16="http://schemas.microsoft.com/office/drawing/2014/main" id="{EB35577B-B042-4246-874E-7585938139E9}"/>
            </a:ext>
          </a:extLst>
        </xdr:cNvPr>
        <xdr:cNvSpPr txBox="1">
          <a:spLocks noChangeArrowheads="1"/>
        </xdr:cNvSpPr>
      </xdr:nvSpPr>
      <xdr:spPr bwMode="auto">
        <a:xfrm>
          <a:off x="3381375" y="2981325"/>
          <a:ext cx="95250" cy="2032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249" name="Text Box 10">
          <a:extLst>
            <a:ext uri="{FF2B5EF4-FFF2-40B4-BE49-F238E27FC236}">
              <a16:creationId xmlns="" xmlns:a16="http://schemas.microsoft.com/office/drawing/2014/main" id="{2E9C88FA-F4EB-47BE-9BE1-42222AE78292}"/>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250" name="Text Box 11">
          <a:extLst>
            <a:ext uri="{FF2B5EF4-FFF2-40B4-BE49-F238E27FC236}">
              <a16:creationId xmlns="" xmlns:a16="http://schemas.microsoft.com/office/drawing/2014/main" id="{1255A583-2993-4695-95D7-4DC70F3A8601}"/>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251" name="Text Box 12">
          <a:extLst>
            <a:ext uri="{FF2B5EF4-FFF2-40B4-BE49-F238E27FC236}">
              <a16:creationId xmlns="" xmlns:a16="http://schemas.microsoft.com/office/drawing/2014/main" id="{65913768-9633-4202-AC6F-C3A6A3B3A607}"/>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252" name="Text Box 10">
          <a:extLst>
            <a:ext uri="{FF2B5EF4-FFF2-40B4-BE49-F238E27FC236}">
              <a16:creationId xmlns="" xmlns:a16="http://schemas.microsoft.com/office/drawing/2014/main" id="{09317A36-6668-465A-8749-5803436E6675}"/>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253" name="Text Box 11">
          <a:extLst>
            <a:ext uri="{FF2B5EF4-FFF2-40B4-BE49-F238E27FC236}">
              <a16:creationId xmlns="" xmlns:a16="http://schemas.microsoft.com/office/drawing/2014/main" id="{1A5C5D46-714A-4941-AEB9-00E2C9037B03}"/>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254" name="Text Box 12">
          <a:extLst>
            <a:ext uri="{FF2B5EF4-FFF2-40B4-BE49-F238E27FC236}">
              <a16:creationId xmlns="" xmlns:a16="http://schemas.microsoft.com/office/drawing/2014/main" id="{833B6817-A0A5-40E5-985A-DBAFB78535F1}"/>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255" name="Text Box 10">
          <a:extLst>
            <a:ext uri="{FF2B5EF4-FFF2-40B4-BE49-F238E27FC236}">
              <a16:creationId xmlns="" xmlns:a16="http://schemas.microsoft.com/office/drawing/2014/main" id="{E882B74E-F080-4722-BA2F-D9F39577FF64}"/>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256" name="Text Box 11">
          <a:extLst>
            <a:ext uri="{FF2B5EF4-FFF2-40B4-BE49-F238E27FC236}">
              <a16:creationId xmlns="" xmlns:a16="http://schemas.microsoft.com/office/drawing/2014/main" id="{A8C8CC1E-8FE5-4821-812E-6CC0632B1847}"/>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257" name="Text Box 12">
          <a:extLst>
            <a:ext uri="{FF2B5EF4-FFF2-40B4-BE49-F238E27FC236}">
              <a16:creationId xmlns="" xmlns:a16="http://schemas.microsoft.com/office/drawing/2014/main" id="{413AA888-186F-4722-ABF1-FBB70F9382A9}"/>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258" name="Text Box 10">
          <a:extLst>
            <a:ext uri="{FF2B5EF4-FFF2-40B4-BE49-F238E27FC236}">
              <a16:creationId xmlns="" xmlns:a16="http://schemas.microsoft.com/office/drawing/2014/main" id="{9F5E75AE-8437-4004-9798-CA6DF5789245}"/>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259" name="Text Box 11">
          <a:extLst>
            <a:ext uri="{FF2B5EF4-FFF2-40B4-BE49-F238E27FC236}">
              <a16:creationId xmlns="" xmlns:a16="http://schemas.microsoft.com/office/drawing/2014/main" id="{880B4E60-00ED-49A6-AC3D-852F34810586}"/>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260" name="Text Box 12">
          <a:extLst>
            <a:ext uri="{FF2B5EF4-FFF2-40B4-BE49-F238E27FC236}">
              <a16:creationId xmlns="" xmlns:a16="http://schemas.microsoft.com/office/drawing/2014/main" id="{CE3F3D86-A3BF-412D-923F-CA631498A223}"/>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261" name="Text Box 10">
          <a:extLst>
            <a:ext uri="{FF2B5EF4-FFF2-40B4-BE49-F238E27FC236}">
              <a16:creationId xmlns="" xmlns:a16="http://schemas.microsoft.com/office/drawing/2014/main" id="{BF45EE74-5BD3-4918-86C8-45A65961630A}"/>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262" name="Text Box 11">
          <a:extLst>
            <a:ext uri="{FF2B5EF4-FFF2-40B4-BE49-F238E27FC236}">
              <a16:creationId xmlns="" xmlns:a16="http://schemas.microsoft.com/office/drawing/2014/main" id="{8BD0F7F2-C1BD-47B1-801C-700C7C1FADD3}"/>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263" name="Text Box 12">
          <a:extLst>
            <a:ext uri="{FF2B5EF4-FFF2-40B4-BE49-F238E27FC236}">
              <a16:creationId xmlns="" xmlns:a16="http://schemas.microsoft.com/office/drawing/2014/main" id="{FFD116B7-C360-444D-A194-861F2106A8B0}"/>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264" name="Text Box 10">
          <a:extLst>
            <a:ext uri="{FF2B5EF4-FFF2-40B4-BE49-F238E27FC236}">
              <a16:creationId xmlns="" xmlns:a16="http://schemas.microsoft.com/office/drawing/2014/main" id="{24A7FA2C-9EC3-44E1-BBA6-46479DBC0901}"/>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265" name="Text Box 11">
          <a:extLst>
            <a:ext uri="{FF2B5EF4-FFF2-40B4-BE49-F238E27FC236}">
              <a16:creationId xmlns="" xmlns:a16="http://schemas.microsoft.com/office/drawing/2014/main" id="{5ADC01A5-1F90-4257-9ECB-A60382F5448C}"/>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266" name="Text Box 12">
          <a:extLst>
            <a:ext uri="{FF2B5EF4-FFF2-40B4-BE49-F238E27FC236}">
              <a16:creationId xmlns="" xmlns:a16="http://schemas.microsoft.com/office/drawing/2014/main" id="{7C6478A9-3536-4374-B356-6AD784852F06}"/>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267" name="Text Box 10">
          <a:extLst>
            <a:ext uri="{FF2B5EF4-FFF2-40B4-BE49-F238E27FC236}">
              <a16:creationId xmlns="" xmlns:a16="http://schemas.microsoft.com/office/drawing/2014/main" id="{0B45C6D9-D459-4808-B32E-37BF62F717D6}"/>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268" name="Text Box 11">
          <a:extLst>
            <a:ext uri="{FF2B5EF4-FFF2-40B4-BE49-F238E27FC236}">
              <a16:creationId xmlns="" xmlns:a16="http://schemas.microsoft.com/office/drawing/2014/main" id="{6F003CA5-CC31-4C3A-8AB3-3224CBD5C5D5}"/>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269" name="Text Box 12">
          <a:extLst>
            <a:ext uri="{FF2B5EF4-FFF2-40B4-BE49-F238E27FC236}">
              <a16:creationId xmlns="" xmlns:a16="http://schemas.microsoft.com/office/drawing/2014/main" id="{B7944F6A-905D-45DA-AA67-9E49CEF4466D}"/>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270" name="Text Box 10">
          <a:extLst>
            <a:ext uri="{FF2B5EF4-FFF2-40B4-BE49-F238E27FC236}">
              <a16:creationId xmlns="" xmlns:a16="http://schemas.microsoft.com/office/drawing/2014/main" id="{0F0A08D8-BC6D-444D-B7D2-637175D7A5FA}"/>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271" name="Text Box 11">
          <a:extLst>
            <a:ext uri="{FF2B5EF4-FFF2-40B4-BE49-F238E27FC236}">
              <a16:creationId xmlns="" xmlns:a16="http://schemas.microsoft.com/office/drawing/2014/main" id="{2DEE4677-4045-4CEB-99F8-C56B3F93096D}"/>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272" name="Text Box 12">
          <a:extLst>
            <a:ext uri="{FF2B5EF4-FFF2-40B4-BE49-F238E27FC236}">
              <a16:creationId xmlns="" xmlns:a16="http://schemas.microsoft.com/office/drawing/2014/main" id="{847773E9-58FB-4052-8861-E4606C0F66F3}"/>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273" name="Text Box 10">
          <a:extLst>
            <a:ext uri="{FF2B5EF4-FFF2-40B4-BE49-F238E27FC236}">
              <a16:creationId xmlns="" xmlns:a16="http://schemas.microsoft.com/office/drawing/2014/main" id="{A717E82F-065D-4AAE-B699-5C0B73CC3159}"/>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274" name="Text Box 11">
          <a:extLst>
            <a:ext uri="{FF2B5EF4-FFF2-40B4-BE49-F238E27FC236}">
              <a16:creationId xmlns="" xmlns:a16="http://schemas.microsoft.com/office/drawing/2014/main" id="{D2AC844C-45C1-4EBA-B8BA-14878B6E6EB7}"/>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275" name="Text Box 12">
          <a:extLst>
            <a:ext uri="{FF2B5EF4-FFF2-40B4-BE49-F238E27FC236}">
              <a16:creationId xmlns="" xmlns:a16="http://schemas.microsoft.com/office/drawing/2014/main" id="{C47DA412-914F-485B-AD72-29FFE01DC69D}"/>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276" name="Text Box 10">
          <a:extLst>
            <a:ext uri="{FF2B5EF4-FFF2-40B4-BE49-F238E27FC236}">
              <a16:creationId xmlns="" xmlns:a16="http://schemas.microsoft.com/office/drawing/2014/main" id="{98132200-F8BA-41CE-A9EA-1B87F7299F78}"/>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277" name="Text Box 11">
          <a:extLst>
            <a:ext uri="{FF2B5EF4-FFF2-40B4-BE49-F238E27FC236}">
              <a16:creationId xmlns="" xmlns:a16="http://schemas.microsoft.com/office/drawing/2014/main" id="{8511E988-06C7-4B36-84D1-965F9E8FF05F}"/>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278" name="Text Box 12">
          <a:extLst>
            <a:ext uri="{FF2B5EF4-FFF2-40B4-BE49-F238E27FC236}">
              <a16:creationId xmlns="" xmlns:a16="http://schemas.microsoft.com/office/drawing/2014/main" id="{747DA2A5-4E15-48F4-89AF-68F938313F0D}"/>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279" name="Text Box 10">
          <a:extLst>
            <a:ext uri="{FF2B5EF4-FFF2-40B4-BE49-F238E27FC236}">
              <a16:creationId xmlns="" xmlns:a16="http://schemas.microsoft.com/office/drawing/2014/main" id="{3D663D51-A307-4A89-8439-DD832F5E8BBD}"/>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280" name="Text Box 11">
          <a:extLst>
            <a:ext uri="{FF2B5EF4-FFF2-40B4-BE49-F238E27FC236}">
              <a16:creationId xmlns="" xmlns:a16="http://schemas.microsoft.com/office/drawing/2014/main" id="{6D394916-877A-46C3-8957-5C82FCFC5898}"/>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281" name="Text Box 12">
          <a:extLst>
            <a:ext uri="{FF2B5EF4-FFF2-40B4-BE49-F238E27FC236}">
              <a16:creationId xmlns="" xmlns:a16="http://schemas.microsoft.com/office/drawing/2014/main" id="{5AB0C04F-FC95-4D5D-8D55-971B4ECBFC9A}"/>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282" name="Text Box 10">
          <a:extLst>
            <a:ext uri="{FF2B5EF4-FFF2-40B4-BE49-F238E27FC236}">
              <a16:creationId xmlns="" xmlns:a16="http://schemas.microsoft.com/office/drawing/2014/main" id="{A8384CB8-300E-4D55-87B6-719D43F1277C}"/>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283" name="Text Box 11">
          <a:extLst>
            <a:ext uri="{FF2B5EF4-FFF2-40B4-BE49-F238E27FC236}">
              <a16:creationId xmlns="" xmlns:a16="http://schemas.microsoft.com/office/drawing/2014/main" id="{5605949A-A052-464B-B65A-54E049E5F645}"/>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284" name="Text Box 12">
          <a:extLst>
            <a:ext uri="{FF2B5EF4-FFF2-40B4-BE49-F238E27FC236}">
              <a16:creationId xmlns="" xmlns:a16="http://schemas.microsoft.com/office/drawing/2014/main" id="{E456A9CA-0B78-4B2A-86D1-D9D6D0230FEE}"/>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285" name="Text Box 10">
          <a:extLst>
            <a:ext uri="{FF2B5EF4-FFF2-40B4-BE49-F238E27FC236}">
              <a16:creationId xmlns="" xmlns:a16="http://schemas.microsoft.com/office/drawing/2014/main" id="{362AF71C-DCC7-4B63-B6D2-3D4B89EBCF93}"/>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286" name="Text Box 11">
          <a:extLst>
            <a:ext uri="{FF2B5EF4-FFF2-40B4-BE49-F238E27FC236}">
              <a16:creationId xmlns="" xmlns:a16="http://schemas.microsoft.com/office/drawing/2014/main" id="{CF5A7B31-7957-42EF-94A7-F078D6E575FF}"/>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287" name="Text Box 12">
          <a:extLst>
            <a:ext uri="{FF2B5EF4-FFF2-40B4-BE49-F238E27FC236}">
              <a16:creationId xmlns="" xmlns:a16="http://schemas.microsoft.com/office/drawing/2014/main" id="{F0EC1F64-9368-446E-B500-1E3B7E74CE3D}"/>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288" name="Text Box 10">
          <a:extLst>
            <a:ext uri="{FF2B5EF4-FFF2-40B4-BE49-F238E27FC236}">
              <a16:creationId xmlns="" xmlns:a16="http://schemas.microsoft.com/office/drawing/2014/main" id="{45903000-09ED-4D53-B318-7FBC616F51A3}"/>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289" name="Text Box 11">
          <a:extLst>
            <a:ext uri="{FF2B5EF4-FFF2-40B4-BE49-F238E27FC236}">
              <a16:creationId xmlns="" xmlns:a16="http://schemas.microsoft.com/office/drawing/2014/main" id="{5367FBDE-A412-450E-BB1A-7B29BC970CBE}"/>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290" name="Text Box 12">
          <a:extLst>
            <a:ext uri="{FF2B5EF4-FFF2-40B4-BE49-F238E27FC236}">
              <a16:creationId xmlns="" xmlns:a16="http://schemas.microsoft.com/office/drawing/2014/main" id="{732EFC5A-0755-4911-A301-A39972C13B84}"/>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291" name="Text Box 10">
          <a:extLst>
            <a:ext uri="{FF2B5EF4-FFF2-40B4-BE49-F238E27FC236}">
              <a16:creationId xmlns="" xmlns:a16="http://schemas.microsoft.com/office/drawing/2014/main" id="{C41680C0-30C8-4E6F-8875-AF978DDE6E40}"/>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292" name="Text Box 11">
          <a:extLst>
            <a:ext uri="{FF2B5EF4-FFF2-40B4-BE49-F238E27FC236}">
              <a16:creationId xmlns="" xmlns:a16="http://schemas.microsoft.com/office/drawing/2014/main" id="{6900B46C-E95F-4E8D-BF3E-05275883A1EB}"/>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293" name="Text Box 12">
          <a:extLst>
            <a:ext uri="{FF2B5EF4-FFF2-40B4-BE49-F238E27FC236}">
              <a16:creationId xmlns="" xmlns:a16="http://schemas.microsoft.com/office/drawing/2014/main" id="{B1F16FF2-B6FB-4AEB-9D67-5833C175308C}"/>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294" name="Text Box 10">
          <a:extLst>
            <a:ext uri="{FF2B5EF4-FFF2-40B4-BE49-F238E27FC236}">
              <a16:creationId xmlns="" xmlns:a16="http://schemas.microsoft.com/office/drawing/2014/main" id="{628AF659-6BDC-4454-AD11-2FE668BD5004}"/>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295" name="Text Box 11">
          <a:extLst>
            <a:ext uri="{FF2B5EF4-FFF2-40B4-BE49-F238E27FC236}">
              <a16:creationId xmlns="" xmlns:a16="http://schemas.microsoft.com/office/drawing/2014/main" id="{1E218446-CDD6-4C9C-80E8-24D5EBE0C481}"/>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296" name="Text Box 12">
          <a:extLst>
            <a:ext uri="{FF2B5EF4-FFF2-40B4-BE49-F238E27FC236}">
              <a16:creationId xmlns="" xmlns:a16="http://schemas.microsoft.com/office/drawing/2014/main" id="{9883F0E0-1EF9-49C0-AEB6-909478212F03}"/>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297" name="Text Box 10">
          <a:extLst>
            <a:ext uri="{FF2B5EF4-FFF2-40B4-BE49-F238E27FC236}">
              <a16:creationId xmlns="" xmlns:a16="http://schemas.microsoft.com/office/drawing/2014/main" id="{F75D14F0-41A9-42D0-96A4-6FA91A60F63A}"/>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298" name="Text Box 11">
          <a:extLst>
            <a:ext uri="{FF2B5EF4-FFF2-40B4-BE49-F238E27FC236}">
              <a16:creationId xmlns="" xmlns:a16="http://schemas.microsoft.com/office/drawing/2014/main" id="{F2172193-785C-4DDE-AC98-E8BF4A78E20E}"/>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299" name="Text Box 12">
          <a:extLst>
            <a:ext uri="{FF2B5EF4-FFF2-40B4-BE49-F238E27FC236}">
              <a16:creationId xmlns="" xmlns:a16="http://schemas.microsoft.com/office/drawing/2014/main" id="{5CA233AA-1E79-418B-968A-30156E212A59}"/>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300" name="Text Box 10">
          <a:extLst>
            <a:ext uri="{FF2B5EF4-FFF2-40B4-BE49-F238E27FC236}">
              <a16:creationId xmlns="" xmlns:a16="http://schemas.microsoft.com/office/drawing/2014/main" id="{9EEEEB27-5CF0-4044-929B-D0CAA27D14CD}"/>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301" name="Text Box 11">
          <a:extLst>
            <a:ext uri="{FF2B5EF4-FFF2-40B4-BE49-F238E27FC236}">
              <a16:creationId xmlns="" xmlns:a16="http://schemas.microsoft.com/office/drawing/2014/main" id="{92345213-5FB4-4403-BE3B-DE681E223100}"/>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302" name="Text Box 12">
          <a:extLst>
            <a:ext uri="{FF2B5EF4-FFF2-40B4-BE49-F238E27FC236}">
              <a16:creationId xmlns="" xmlns:a16="http://schemas.microsoft.com/office/drawing/2014/main" id="{B0238BB5-670C-4B58-9695-0BEE460228AB}"/>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303" name="Text Box 10">
          <a:extLst>
            <a:ext uri="{FF2B5EF4-FFF2-40B4-BE49-F238E27FC236}">
              <a16:creationId xmlns="" xmlns:a16="http://schemas.microsoft.com/office/drawing/2014/main" id="{B620BC8D-A6C0-49C8-9227-52033220B554}"/>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304" name="Text Box 11">
          <a:extLst>
            <a:ext uri="{FF2B5EF4-FFF2-40B4-BE49-F238E27FC236}">
              <a16:creationId xmlns="" xmlns:a16="http://schemas.microsoft.com/office/drawing/2014/main" id="{5EBF24F6-0312-4920-8E74-AE35A24EDECF}"/>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305" name="Text Box 12">
          <a:extLst>
            <a:ext uri="{FF2B5EF4-FFF2-40B4-BE49-F238E27FC236}">
              <a16:creationId xmlns="" xmlns:a16="http://schemas.microsoft.com/office/drawing/2014/main" id="{7074D3FD-8E46-44E1-BAAF-16BB2BF2B373}"/>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306" name="Text Box 10">
          <a:extLst>
            <a:ext uri="{FF2B5EF4-FFF2-40B4-BE49-F238E27FC236}">
              <a16:creationId xmlns="" xmlns:a16="http://schemas.microsoft.com/office/drawing/2014/main" id="{03113F0E-4116-420E-A564-D6B109739C3D}"/>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307" name="Text Box 11">
          <a:extLst>
            <a:ext uri="{FF2B5EF4-FFF2-40B4-BE49-F238E27FC236}">
              <a16:creationId xmlns="" xmlns:a16="http://schemas.microsoft.com/office/drawing/2014/main" id="{283A2253-88DE-42B0-A450-4C57C8B46AB0}"/>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308" name="Text Box 12">
          <a:extLst>
            <a:ext uri="{FF2B5EF4-FFF2-40B4-BE49-F238E27FC236}">
              <a16:creationId xmlns="" xmlns:a16="http://schemas.microsoft.com/office/drawing/2014/main" id="{B3814333-068F-4CB3-A1B2-FEAFCFE8F2FD}"/>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309" name="Text Box 10">
          <a:extLst>
            <a:ext uri="{FF2B5EF4-FFF2-40B4-BE49-F238E27FC236}">
              <a16:creationId xmlns="" xmlns:a16="http://schemas.microsoft.com/office/drawing/2014/main" id="{BF8A494A-3182-4AED-A4CD-B8FAA4E38371}"/>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310" name="Text Box 11">
          <a:extLst>
            <a:ext uri="{FF2B5EF4-FFF2-40B4-BE49-F238E27FC236}">
              <a16:creationId xmlns="" xmlns:a16="http://schemas.microsoft.com/office/drawing/2014/main" id="{75821F7D-5AE5-410C-8A1B-6BBFFCEE1DD8}"/>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311" name="Text Box 12">
          <a:extLst>
            <a:ext uri="{FF2B5EF4-FFF2-40B4-BE49-F238E27FC236}">
              <a16:creationId xmlns="" xmlns:a16="http://schemas.microsoft.com/office/drawing/2014/main" id="{BABECE2B-FCB3-418B-9B03-365203B5D0EE}"/>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312" name="Text Box 10">
          <a:extLst>
            <a:ext uri="{FF2B5EF4-FFF2-40B4-BE49-F238E27FC236}">
              <a16:creationId xmlns="" xmlns:a16="http://schemas.microsoft.com/office/drawing/2014/main" id="{CC0058FF-AA9E-42F7-917C-8CB1708F0616}"/>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313" name="Text Box 11">
          <a:extLst>
            <a:ext uri="{FF2B5EF4-FFF2-40B4-BE49-F238E27FC236}">
              <a16:creationId xmlns="" xmlns:a16="http://schemas.microsoft.com/office/drawing/2014/main" id="{EDEA6377-A2B0-4FB2-AF2A-D89E439DE41F}"/>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314" name="Text Box 12">
          <a:extLst>
            <a:ext uri="{FF2B5EF4-FFF2-40B4-BE49-F238E27FC236}">
              <a16:creationId xmlns="" xmlns:a16="http://schemas.microsoft.com/office/drawing/2014/main" id="{A9F07FF8-6F29-477E-A25D-BC76038C0BFF}"/>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315" name="Text Box 10">
          <a:extLst>
            <a:ext uri="{FF2B5EF4-FFF2-40B4-BE49-F238E27FC236}">
              <a16:creationId xmlns="" xmlns:a16="http://schemas.microsoft.com/office/drawing/2014/main" id="{C0642B6B-19AD-4563-B5C7-86057B186492}"/>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316" name="Text Box 11">
          <a:extLst>
            <a:ext uri="{FF2B5EF4-FFF2-40B4-BE49-F238E27FC236}">
              <a16:creationId xmlns="" xmlns:a16="http://schemas.microsoft.com/office/drawing/2014/main" id="{ADB7EB3C-97AD-4557-ACC8-967FBCC2769D}"/>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317" name="Text Box 12">
          <a:extLst>
            <a:ext uri="{FF2B5EF4-FFF2-40B4-BE49-F238E27FC236}">
              <a16:creationId xmlns="" xmlns:a16="http://schemas.microsoft.com/office/drawing/2014/main" id="{1AC3FBFE-8D90-4557-8C0A-93CC6E4E9E09}"/>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318" name="Text Box 10">
          <a:extLst>
            <a:ext uri="{FF2B5EF4-FFF2-40B4-BE49-F238E27FC236}">
              <a16:creationId xmlns="" xmlns:a16="http://schemas.microsoft.com/office/drawing/2014/main" id="{1E804057-2950-40CA-B54A-EA7674DE4681}"/>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319" name="Text Box 11">
          <a:extLst>
            <a:ext uri="{FF2B5EF4-FFF2-40B4-BE49-F238E27FC236}">
              <a16:creationId xmlns="" xmlns:a16="http://schemas.microsoft.com/office/drawing/2014/main" id="{99EB59E7-B0A7-47C0-9836-CE366A43C3D2}"/>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320" name="Text Box 12">
          <a:extLst>
            <a:ext uri="{FF2B5EF4-FFF2-40B4-BE49-F238E27FC236}">
              <a16:creationId xmlns="" xmlns:a16="http://schemas.microsoft.com/office/drawing/2014/main" id="{C4A977BC-6402-4294-89DE-5084725063BA}"/>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321" name="Text Box 10">
          <a:extLst>
            <a:ext uri="{FF2B5EF4-FFF2-40B4-BE49-F238E27FC236}">
              <a16:creationId xmlns="" xmlns:a16="http://schemas.microsoft.com/office/drawing/2014/main" id="{9A6319EF-C94C-4785-BA5B-7724490A9918}"/>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322" name="Text Box 11">
          <a:extLst>
            <a:ext uri="{FF2B5EF4-FFF2-40B4-BE49-F238E27FC236}">
              <a16:creationId xmlns="" xmlns:a16="http://schemas.microsoft.com/office/drawing/2014/main" id="{01A4DC77-C687-41DE-9FF0-92C03743FB76}"/>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323" name="Text Box 12">
          <a:extLst>
            <a:ext uri="{FF2B5EF4-FFF2-40B4-BE49-F238E27FC236}">
              <a16:creationId xmlns="" xmlns:a16="http://schemas.microsoft.com/office/drawing/2014/main" id="{4477C930-0EAD-4658-9F14-B6E2A8D0DB9B}"/>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324" name="Text Box 10">
          <a:extLst>
            <a:ext uri="{FF2B5EF4-FFF2-40B4-BE49-F238E27FC236}">
              <a16:creationId xmlns="" xmlns:a16="http://schemas.microsoft.com/office/drawing/2014/main" id="{493C2BB7-980B-4375-A0EC-B9B0F5264968}"/>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325" name="Text Box 11">
          <a:extLst>
            <a:ext uri="{FF2B5EF4-FFF2-40B4-BE49-F238E27FC236}">
              <a16:creationId xmlns="" xmlns:a16="http://schemas.microsoft.com/office/drawing/2014/main" id="{77A39922-6CC4-4D23-93DC-276DF767B922}"/>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326" name="Text Box 12">
          <a:extLst>
            <a:ext uri="{FF2B5EF4-FFF2-40B4-BE49-F238E27FC236}">
              <a16:creationId xmlns="" xmlns:a16="http://schemas.microsoft.com/office/drawing/2014/main" id="{2D190393-40F6-4392-9A84-1994F7B7E22D}"/>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327" name="Text Box 10">
          <a:extLst>
            <a:ext uri="{FF2B5EF4-FFF2-40B4-BE49-F238E27FC236}">
              <a16:creationId xmlns="" xmlns:a16="http://schemas.microsoft.com/office/drawing/2014/main" id="{E62FBBA1-A817-4AF7-8D83-838D2499295B}"/>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328" name="Text Box 11">
          <a:extLst>
            <a:ext uri="{FF2B5EF4-FFF2-40B4-BE49-F238E27FC236}">
              <a16:creationId xmlns="" xmlns:a16="http://schemas.microsoft.com/office/drawing/2014/main" id="{80DB1C47-60EC-475B-B1E0-F742909A4656}"/>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329" name="Text Box 12">
          <a:extLst>
            <a:ext uri="{FF2B5EF4-FFF2-40B4-BE49-F238E27FC236}">
              <a16:creationId xmlns="" xmlns:a16="http://schemas.microsoft.com/office/drawing/2014/main" id="{6249279A-CACE-41C5-BB0D-8534DB9059B2}"/>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330" name="Text Box 10">
          <a:extLst>
            <a:ext uri="{FF2B5EF4-FFF2-40B4-BE49-F238E27FC236}">
              <a16:creationId xmlns="" xmlns:a16="http://schemas.microsoft.com/office/drawing/2014/main" id="{FBE84F65-703F-4015-B3EF-83E26BDB09E0}"/>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331" name="Text Box 11">
          <a:extLst>
            <a:ext uri="{FF2B5EF4-FFF2-40B4-BE49-F238E27FC236}">
              <a16:creationId xmlns="" xmlns:a16="http://schemas.microsoft.com/office/drawing/2014/main" id="{352C334C-6421-4822-B2B8-AA4090F27EFE}"/>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332" name="Text Box 12">
          <a:extLst>
            <a:ext uri="{FF2B5EF4-FFF2-40B4-BE49-F238E27FC236}">
              <a16:creationId xmlns="" xmlns:a16="http://schemas.microsoft.com/office/drawing/2014/main" id="{B7A0F04F-1920-419A-9325-965BC129F2EC}"/>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333" name="Text Box 10">
          <a:extLst>
            <a:ext uri="{FF2B5EF4-FFF2-40B4-BE49-F238E27FC236}">
              <a16:creationId xmlns="" xmlns:a16="http://schemas.microsoft.com/office/drawing/2014/main" id="{D994565C-0EDE-485F-877A-1C38D570E784}"/>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334" name="Text Box 11">
          <a:extLst>
            <a:ext uri="{FF2B5EF4-FFF2-40B4-BE49-F238E27FC236}">
              <a16:creationId xmlns="" xmlns:a16="http://schemas.microsoft.com/office/drawing/2014/main" id="{979EA36F-3AF9-4D9F-990E-0D2C90D453E8}"/>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335" name="Text Box 12">
          <a:extLst>
            <a:ext uri="{FF2B5EF4-FFF2-40B4-BE49-F238E27FC236}">
              <a16:creationId xmlns="" xmlns:a16="http://schemas.microsoft.com/office/drawing/2014/main" id="{7EB6B5AC-7C88-4847-B97D-8A652C33DE75}"/>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336" name="Text Box 10">
          <a:extLst>
            <a:ext uri="{FF2B5EF4-FFF2-40B4-BE49-F238E27FC236}">
              <a16:creationId xmlns="" xmlns:a16="http://schemas.microsoft.com/office/drawing/2014/main" id="{AD294F08-5CA0-47C5-A3C7-E24E48055242}"/>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337" name="Text Box 11">
          <a:extLst>
            <a:ext uri="{FF2B5EF4-FFF2-40B4-BE49-F238E27FC236}">
              <a16:creationId xmlns="" xmlns:a16="http://schemas.microsoft.com/office/drawing/2014/main" id="{6FDEDC67-5920-4322-BF0D-BE80E89A739A}"/>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338" name="Text Box 12">
          <a:extLst>
            <a:ext uri="{FF2B5EF4-FFF2-40B4-BE49-F238E27FC236}">
              <a16:creationId xmlns="" xmlns:a16="http://schemas.microsoft.com/office/drawing/2014/main" id="{0126DB07-455D-40A4-8694-F8A76DAF15A1}"/>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339" name="Text Box 10">
          <a:extLst>
            <a:ext uri="{FF2B5EF4-FFF2-40B4-BE49-F238E27FC236}">
              <a16:creationId xmlns="" xmlns:a16="http://schemas.microsoft.com/office/drawing/2014/main" id="{697ECC08-7935-4FE6-8266-1748DE4BA879}"/>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340" name="Text Box 11">
          <a:extLst>
            <a:ext uri="{FF2B5EF4-FFF2-40B4-BE49-F238E27FC236}">
              <a16:creationId xmlns="" xmlns:a16="http://schemas.microsoft.com/office/drawing/2014/main" id="{361AC1AB-1595-4F1E-858D-6735AF061B91}"/>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341" name="Text Box 12">
          <a:extLst>
            <a:ext uri="{FF2B5EF4-FFF2-40B4-BE49-F238E27FC236}">
              <a16:creationId xmlns="" xmlns:a16="http://schemas.microsoft.com/office/drawing/2014/main" id="{0FDE69C8-F742-46D3-A307-24F9A2E7DA84}"/>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342" name="Text Box 10">
          <a:extLst>
            <a:ext uri="{FF2B5EF4-FFF2-40B4-BE49-F238E27FC236}">
              <a16:creationId xmlns="" xmlns:a16="http://schemas.microsoft.com/office/drawing/2014/main" id="{233E4680-05EF-4390-8DDD-BD82D897DEE3}"/>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343" name="Text Box 11">
          <a:extLst>
            <a:ext uri="{FF2B5EF4-FFF2-40B4-BE49-F238E27FC236}">
              <a16:creationId xmlns="" xmlns:a16="http://schemas.microsoft.com/office/drawing/2014/main" id="{BC01D0DB-B59C-4C89-9630-B285E2BAB5FF}"/>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344" name="Text Box 12">
          <a:extLst>
            <a:ext uri="{FF2B5EF4-FFF2-40B4-BE49-F238E27FC236}">
              <a16:creationId xmlns="" xmlns:a16="http://schemas.microsoft.com/office/drawing/2014/main" id="{20B9B4B3-58B5-4D52-8D31-4523FC97CD70}"/>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345" name="Text Box 10">
          <a:extLst>
            <a:ext uri="{FF2B5EF4-FFF2-40B4-BE49-F238E27FC236}">
              <a16:creationId xmlns="" xmlns:a16="http://schemas.microsoft.com/office/drawing/2014/main" id="{A3EBAE18-5BBA-408E-B2CA-B6905CBD8117}"/>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346" name="Text Box 11">
          <a:extLst>
            <a:ext uri="{FF2B5EF4-FFF2-40B4-BE49-F238E27FC236}">
              <a16:creationId xmlns="" xmlns:a16="http://schemas.microsoft.com/office/drawing/2014/main" id="{5A5E9B5A-F90F-481C-BF8B-A5F50096AD32}"/>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347" name="Text Box 12">
          <a:extLst>
            <a:ext uri="{FF2B5EF4-FFF2-40B4-BE49-F238E27FC236}">
              <a16:creationId xmlns="" xmlns:a16="http://schemas.microsoft.com/office/drawing/2014/main" id="{01AE61AD-D0CA-4D52-9BE7-01BA278A6D11}"/>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348" name="Text Box 10">
          <a:extLst>
            <a:ext uri="{FF2B5EF4-FFF2-40B4-BE49-F238E27FC236}">
              <a16:creationId xmlns="" xmlns:a16="http://schemas.microsoft.com/office/drawing/2014/main" id="{B93FDC7A-83DF-4AD8-9042-14E1FC3C43FC}"/>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349" name="Text Box 11">
          <a:extLst>
            <a:ext uri="{FF2B5EF4-FFF2-40B4-BE49-F238E27FC236}">
              <a16:creationId xmlns="" xmlns:a16="http://schemas.microsoft.com/office/drawing/2014/main" id="{A954270F-95CC-4D83-A22F-68D110E3A45A}"/>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350" name="Text Box 12">
          <a:extLst>
            <a:ext uri="{FF2B5EF4-FFF2-40B4-BE49-F238E27FC236}">
              <a16:creationId xmlns="" xmlns:a16="http://schemas.microsoft.com/office/drawing/2014/main" id="{D23E4091-DD6F-45F7-9CE9-4FBA0EE91E42}"/>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351" name="Text Box 10">
          <a:extLst>
            <a:ext uri="{FF2B5EF4-FFF2-40B4-BE49-F238E27FC236}">
              <a16:creationId xmlns="" xmlns:a16="http://schemas.microsoft.com/office/drawing/2014/main" id="{BE9CB444-1FDF-4766-B207-3F99144570E0}"/>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352" name="Text Box 11">
          <a:extLst>
            <a:ext uri="{FF2B5EF4-FFF2-40B4-BE49-F238E27FC236}">
              <a16:creationId xmlns="" xmlns:a16="http://schemas.microsoft.com/office/drawing/2014/main" id="{F8CC4506-5D7D-490F-9779-940211B23B2E}"/>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353" name="Text Box 12">
          <a:extLst>
            <a:ext uri="{FF2B5EF4-FFF2-40B4-BE49-F238E27FC236}">
              <a16:creationId xmlns="" xmlns:a16="http://schemas.microsoft.com/office/drawing/2014/main" id="{604BCF67-C1D8-456E-8DFE-AC78A591041C}"/>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354" name="Text Box 10">
          <a:extLst>
            <a:ext uri="{FF2B5EF4-FFF2-40B4-BE49-F238E27FC236}">
              <a16:creationId xmlns="" xmlns:a16="http://schemas.microsoft.com/office/drawing/2014/main" id="{1BF2AFCF-8FC5-4EEF-B70C-C761C2F35164}"/>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355" name="Text Box 11">
          <a:extLst>
            <a:ext uri="{FF2B5EF4-FFF2-40B4-BE49-F238E27FC236}">
              <a16:creationId xmlns="" xmlns:a16="http://schemas.microsoft.com/office/drawing/2014/main" id="{28389F28-4EB5-43AA-961B-154C98B473FA}"/>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356" name="Text Box 12">
          <a:extLst>
            <a:ext uri="{FF2B5EF4-FFF2-40B4-BE49-F238E27FC236}">
              <a16:creationId xmlns="" xmlns:a16="http://schemas.microsoft.com/office/drawing/2014/main" id="{4721A2F6-74BA-4940-98D1-CF990BFD2788}"/>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357" name="Text Box 10">
          <a:extLst>
            <a:ext uri="{FF2B5EF4-FFF2-40B4-BE49-F238E27FC236}">
              <a16:creationId xmlns="" xmlns:a16="http://schemas.microsoft.com/office/drawing/2014/main" id="{E9A2FFA9-B355-4737-9677-E49C6C3CEE1F}"/>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358" name="Text Box 11">
          <a:extLst>
            <a:ext uri="{FF2B5EF4-FFF2-40B4-BE49-F238E27FC236}">
              <a16:creationId xmlns="" xmlns:a16="http://schemas.microsoft.com/office/drawing/2014/main" id="{08809718-C700-45B2-AAE4-54E35B4F1DCF}"/>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359" name="Text Box 12">
          <a:extLst>
            <a:ext uri="{FF2B5EF4-FFF2-40B4-BE49-F238E27FC236}">
              <a16:creationId xmlns="" xmlns:a16="http://schemas.microsoft.com/office/drawing/2014/main" id="{C185E1A9-C474-472B-A5AF-E731BD66BC52}"/>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360" name="Text Box 10">
          <a:extLst>
            <a:ext uri="{FF2B5EF4-FFF2-40B4-BE49-F238E27FC236}">
              <a16:creationId xmlns="" xmlns:a16="http://schemas.microsoft.com/office/drawing/2014/main" id="{75B2C1FA-A38E-4197-8E20-FC64EC9146CB}"/>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361" name="Text Box 11">
          <a:extLst>
            <a:ext uri="{FF2B5EF4-FFF2-40B4-BE49-F238E27FC236}">
              <a16:creationId xmlns="" xmlns:a16="http://schemas.microsoft.com/office/drawing/2014/main" id="{1559BA56-3049-4C33-BA08-534A51195BD4}"/>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362" name="Text Box 12">
          <a:extLst>
            <a:ext uri="{FF2B5EF4-FFF2-40B4-BE49-F238E27FC236}">
              <a16:creationId xmlns="" xmlns:a16="http://schemas.microsoft.com/office/drawing/2014/main" id="{5C586CA8-C358-431A-8EED-10CBA806AA46}"/>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363" name="Text Box 10">
          <a:extLst>
            <a:ext uri="{FF2B5EF4-FFF2-40B4-BE49-F238E27FC236}">
              <a16:creationId xmlns="" xmlns:a16="http://schemas.microsoft.com/office/drawing/2014/main" id="{C175A4F9-78FA-4D89-9C64-26958F5C6A66}"/>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364" name="Text Box 11">
          <a:extLst>
            <a:ext uri="{FF2B5EF4-FFF2-40B4-BE49-F238E27FC236}">
              <a16:creationId xmlns="" xmlns:a16="http://schemas.microsoft.com/office/drawing/2014/main" id="{806AA480-080C-4C1E-8E1C-E6A0E2DDC6DE}"/>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365" name="Text Box 12">
          <a:extLst>
            <a:ext uri="{FF2B5EF4-FFF2-40B4-BE49-F238E27FC236}">
              <a16:creationId xmlns="" xmlns:a16="http://schemas.microsoft.com/office/drawing/2014/main" id="{224DDF1A-BD79-4F1A-8849-27CC14C26807}"/>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366" name="Text Box 10">
          <a:extLst>
            <a:ext uri="{FF2B5EF4-FFF2-40B4-BE49-F238E27FC236}">
              <a16:creationId xmlns="" xmlns:a16="http://schemas.microsoft.com/office/drawing/2014/main" id="{9F37EC6B-F511-4AD4-BB1D-A16984300EBE}"/>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367" name="Text Box 11">
          <a:extLst>
            <a:ext uri="{FF2B5EF4-FFF2-40B4-BE49-F238E27FC236}">
              <a16:creationId xmlns="" xmlns:a16="http://schemas.microsoft.com/office/drawing/2014/main" id="{687ACE40-54F6-4122-A3D1-09A42E69FDFD}"/>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368" name="Text Box 12">
          <a:extLst>
            <a:ext uri="{FF2B5EF4-FFF2-40B4-BE49-F238E27FC236}">
              <a16:creationId xmlns="" xmlns:a16="http://schemas.microsoft.com/office/drawing/2014/main" id="{314AE850-CD70-46CF-9BF6-D2AA2EBE225C}"/>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369" name="Text Box 10">
          <a:extLst>
            <a:ext uri="{FF2B5EF4-FFF2-40B4-BE49-F238E27FC236}">
              <a16:creationId xmlns="" xmlns:a16="http://schemas.microsoft.com/office/drawing/2014/main" id="{80093913-A59D-4735-970B-9D647DC00E00}"/>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370" name="Text Box 11">
          <a:extLst>
            <a:ext uri="{FF2B5EF4-FFF2-40B4-BE49-F238E27FC236}">
              <a16:creationId xmlns="" xmlns:a16="http://schemas.microsoft.com/office/drawing/2014/main" id="{AE25CF12-9742-4269-810D-9EECE078D8D9}"/>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371" name="Text Box 12">
          <a:extLst>
            <a:ext uri="{FF2B5EF4-FFF2-40B4-BE49-F238E27FC236}">
              <a16:creationId xmlns="" xmlns:a16="http://schemas.microsoft.com/office/drawing/2014/main" id="{B20A1E89-FE3B-4678-A252-C1AE873863DF}"/>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372" name="Text Box 10">
          <a:extLst>
            <a:ext uri="{FF2B5EF4-FFF2-40B4-BE49-F238E27FC236}">
              <a16:creationId xmlns="" xmlns:a16="http://schemas.microsoft.com/office/drawing/2014/main" id="{760CED54-582D-43FA-82A9-F50A9B39B1F3}"/>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373" name="Text Box 11">
          <a:extLst>
            <a:ext uri="{FF2B5EF4-FFF2-40B4-BE49-F238E27FC236}">
              <a16:creationId xmlns="" xmlns:a16="http://schemas.microsoft.com/office/drawing/2014/main" id="{05B89A26-5007-49B3-A675-3CAE581AB5AB}"/>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374" name="Text Box 12">
          <a:extLst>
            <a:ext uri="{FF2B5EF4-FFF2-40B4-BE49-F238E27FC236}">
              <a16:creationId xmlns="" xmlns:a16="http://schemas.microsoft.com/office/drawing/2014/main" id="{AE5ECB2A-0B6C-40A6-A72A-30452BB4A87B}"/>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375" name="Text Box 10">
          <a:extLst>
            <a:ext uri="{FF2B5EF4-FFF2-40B4-BE49-F238E27FC236}">
              <a16:creationId xmlns="" xmlns:a16="http://schemas.microsoft.com/office/drawing/2014/main" id="{B4161C4B-6BED-4FA9-A92A-1B305CBC4AE3}"/>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376" name="Text Box 11">
          <a:extLst>
            <a:ext uri="{FF2B5EF4-FFF2-40B4-BE49-F238E27FC236}">
              <a16:creationId xmlns="" xmlns:a16="http://schemas.microsoft.com/office/drawing/2014/main" id="{2F7DCC98-55BE-485D-AE3A-94D68D73694A}"/>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377" name="Text Box 12">
          <a:extLst>
            <a:ext uri="{FF2B5EF4-FFF2-40B4-BE49-F238E27FC236}">
              <a16:creationId xmlns="" xmlns:a16="http://schemas.microsoft.com/office/drawing/2014/main" id="{9155ED7C-0F3A-4929-997F-2FC20692A049}"/>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378" name="Text Box 10">
          <a:extLst>
            <a:ext uri="{FF2B5EF4-FFF2-40B4-BE49-F238E27FC236}">
              <a16:creationId xmlns="" xmlns:a16="http://schemas.microsoft.com/office/drawing/2014/main" id="{8994FCF4-C3BA-4F5D-AF8C-BE401D9195DC}"/>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379" name="Text Box 11">
          <a:extLst>
            <a:ext uri="{FF2B5EF4-FFF2-40B4-BE49-F238E27FC236}">
              <a16:creationId xmlns="" xmlns:a16="http://schemas.microsoft.com/office/drawing/2014/main" id="{4F379116-3DAD-452B-BA14-A040B245E2ED}"/>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380" name="Text Box 12">
          <a:extLst>
            <a:ext uri="{FF2B5EF4-FFF2-40B4-BE49-F238E27FC236}">
              <a16:creationId xmlns="" xmlns:a16="http://schemas.microsoft.com/office/drawing/2014/main" id="{B00793AE-2A9D-485A-9130-10DE823D72BC}"/>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381" name="Text Box 10">
          <a:extLst>
            <a:ext uri="{FF2B5EF4-FFF2-40B4-BE49-F238E27FC236}">
              <a16:creationId xmlns="" xmlns:a16="http://schemas.microsoft.com/office/drawing/2014/main" id="{00477433-1E65-4E06-B0AB-C1C8C9EA4D62}"/>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382" name="Text Box 11">
          <a:extLst>
            <a:ext uri="{FF2B5EF4-FFF2-40B4-BE49-F238E27FC236}">
              <a16:creationId xmlns="" xmlns:a16="http://schemas.microsoft.com/office/drawing/2014/main" id="{61620B2B-AB8E-4E8F-BBF8-492C3CD777C8}"/>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383" name="Text Box 12">
          <a:extLst>
            <a:ext uri="{FF2B5EF4-FFF2-40B4-BE49-F238E27FC236}">
              <a16:creationId xmlns="" xmlns:a16="http://schemas.microsoft.com/office/drawing/2014/main" id="{00A2D91B-F836-471F-B063-FFF69E7494E9}"/>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384" name="Text Box 10">
          <a:extLst>
            <a:ext uri="{FF2B5EF4-FFF2-40B4-BE49-F238E27FC236}">
              <a16:creationId xmlns="" xmlns:a16="http://schemas.microsoft.com/office/drawing/2014/main" id="{68E62C61-B294-4F6D-9534-BBFEDF6649B0}"/>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385" name="Text Box 11">
          <a:extLst>
            <a:ext uri="{FF2B5EF4-FFF2-40B4-BE49-F238E27FC236}">
              <a16:creationId xmlns="" xmlns:a16="http://schemas.microsoft.com/office/drawing/2014/main" id="{788A3536-14D6-4DC3-B325-A3C850BB87F7}"/>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386" name="Text Box 12">
          <a:extLst>
            <a:ext uri="{FF2B5EF4-FFF2-40B4-BE49-F238E27FC236}">
              <a16:creationId xmlns="" xmlns:a16="http://schemas.microsoft.com/office/drawing/2014/main" id="{61DC4E45-00FD-4214-8B3F-193A847690FD}"/>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387" name="Text Box 10">
          <a:extLst>
            <a:ext uri="{FF2B5EF4-FFF2-40B4-BE49-F238E27FC236}">
              <a16:creationId xmlns="" xmlns:a16="http://schemas.microsoft.com/office/drawing/2014/main" id="{351DCF87-979E-4287-BC36-9E9C9AB85208}"/>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388" name="Text Box 11">
          <a:extLst>
            <a:ext uri="{FF2B5EF4-FFF2-40B4-BE49-F238E27FC236}">
              <a16:creationId xmlns="" xmlns:a16="http://schemas.microsoft.com/office/drawing/2014/main" id="{F64EDD8E-DE6D-46CD-9440-ED3C774119A0}"/>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389" name="Text Box 12">
          <a:extLst>
            <a:ext uri="{FF2B5EF4-FFF2-40B4-BE49-F238E27FC236}">
              <a16:creationId xmlns="" xmlns:a16="http://schemas.microsoft.com/office/drawing/2014/main" id="{A7FBC2FD-E159-4531-BCC0-107C4D3142C5}"/>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390" name="Text Box 10">
          <a:extLst>
            <a:ext uri="{FF2B5EF4-FFF2-40B4-BE49-F238E27FC236}">
              <a16:creationId xmlns="" xmlns:a16="http://schemas.microsoft.com/office/drawing/2014/main" id="{63FEDAE7-C8FA-47D2-BF54-D9D7B57134A3}"/>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391" name="Text Box 11">
          <a:extLst>
            <a:ext uri="{FF2B5EF4-FFF2-40B4-BE49-F238E27FC236}">
              <a16:creationId xmlns="" xmlns:a16="http://schemas.microsoft.com/office/drawing/2014/main" id="{4FD10149-6610-4CB7-8F5C-A1ED9C22265C}"/>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17</xdr:row>
      <xdr:rowOff>324761</xdr:rowOff>
    </xdr:to>
    <xdr:sp macro="" textlink="">
      <xdr:nvSpPr>
        <xdr:cNvPr id="1392" name="Text Box 12">
          <a:extLst>
            <a:ext uri="{FF2B5EF4-FFF2-40B4-BE49-F238E27FC236}">
              <a16:creationId xmlns="" xmlns:a16="http://schemas.microsoft.com/office/drawing/2014/main" id="{7D07F4C9-ECA6-4DBF-86BC-68DA509CC9CC}"/>
            </a:ext>
          </a:extLst>
        </xdr:cNvPr>
        <xdr:cNvSpPr txBox="1">
          <a:spLocks noChangeArrowheads="1"/>
        </xdr:cNvSpPr>
      </xdr:nvSpPr>
      <xdr:spPr bwMode="auto">
        <a:xfrm>
          <a:off x="3381375" y="2981325"/>
          <a:ext cx="95250" cy="20322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393" name="Text Box 10">
          <a:extLst>
            <a:ext uri="{FF2B5EF4-FFF2-40B4-BE49-F238E27FC236}">
              <a16:creationId xmlns="" xmlns:a16="http://schemas.microsoft.com/office/drawing/2014/main" id="{E72BF530-19C6-4117-8DEE-1E63C1A9650D}"/>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394" name="Text Box 11">
          <a:extLst>
            <a:ext uri="{FF2B5EF4-FFF2-40B4-BE49-F238E27FC236}">
              <a16:creationId xmlns="" xmlns:a16="http://schemas.microsoft.com/office/drawing/2014/main" id="{1BC83A6A-7C6D-455D-95E4-F44D9EBBAF9D}"/>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395" name="Text Box 12">
          <a:extLst>
            <a:ext uri="{FF2B5EF4-FFF2-40B4-BE49-F238E27FC236}">
              <a16:creationId xmlns="" xmlns:a16="http://schemas.microsoft.com/office/drawing/2014/main" id="{AD1612AC-3324-41F3-9380-7296B944270F}"/>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396" name="Text Box 10">
          <a:extLst>
            <a:ext uri="{FF2B5EF4-FFF2-40B4-BE49-F238E27FC236}">
              <a16:creationId xmlns="" xmlns:a16="http://schemas.microsoft.com/office/drawing/2014/main" id="{1AF40854-216F-4D72-B736-F3AB832EC7D8}"/>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397" name="Text Box 11">
          <a:extLst>
            <a:ext uri="{FF2B5EF4-FFF2-40B4-BE49-F238E27FC236}">
              <a16:creationId xmlns="" xmlns:a16="http://schemas.microsoft.com/office/drawing/2014/main" id="{88B70CA6-BC61-48DC-A22E-1D79C91AA48F}"/>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398" name="Text Box 12">
          <a:extLst>
            <a:ext uri="{FF2B5EF4-FFF2-40B4-BE49-F238E27FC236}">
              <a16:creationId xmlns="" xmlns:a16="http://schemas.microsoft.com/office/drawing/2014/main" id="{72D09BEA-F3AB-412F-B7E8-D4D6D3C4AF4B}"/>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399" name="Text Box 10">
          <a:extLst>
            <a:ext uri="{FF2B5EF4-FFF2-40B4-BE49-F238E27FC236}">
              <a16:creationId xmlns="" xmlns:a16="http://schemas.microsoft.com/office/drawing/2014/main" id="{E921FB2C-358D-4455-87C8-09E0627F02C4}"/>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400" name="Text Box 11">
          <a:extLst>
            <a:ext uri="{FF2B5EF4-FFF2-40B4-BE49-F238E27FC236}">
              <a16:creationId xmlns="" xmlns:a16="http://schemas.microsoft.com/office/drawing/2014/main" id="{07D2273D-FFC7-49E3-9F6F-B93C7A5A8EE6}"/>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401" name="Text Box 12">
          <a:extLst>
            <a:ext uri="{FF2B5EF4-FFF2-40B4-BE49-F238E27FC236}">
              <a16:creationId xmlns="" xmlns:a16="http://schemas.microsoft.com/office/drawing/2014/main" id="{7CF902F6-742A-4574-B140-93537C4CB8B1}"/>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402" name="Text Box 10">
          <a:extLst>
            <a:ext uri="{FF2B5EF4-FFF2-40B4-BE49-F238E27FC236}">
              <a16:creationId xmlns="" xmlns:a16="http://schemas.microsoft.com/office/drawing/2014/main" id="{2C3A8BE2-4654-4D4B-B469-E9F47C537BE0}"/>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403" name="Text Box 11">
          <a:extLst>
            <a:ext uri="{FF2B5EF4-FFF2-40B4-BE49-F238E27FC236}">
              <a16:creationId xmlns="" xmlns:a16="http://schemas.microsoft.com/office/drawing/2014/main" id="{65743D82-F664-43B9-A1B0-5FF86D89D813}"/>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404" name="Text Box 12">
          <a:extLst>
            <a:ext uri="{FF2B5EF4-FFF2-40B4-BE49-F238E27FC236}">
              <a16:creationId xmlns="" xmlns:a16="http://schemas.microsoft.com/office/drawing/2014/main" id="{12681ADF-4964-4CD9-AF4F-4ED570D6D88C}"/>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405" name="Text Box 10">
          <a:extLst>
            <a:ext uri="{FF2B5EF4-FFF2-40B4-BE49-F238E27FC236}">
              <a16:creationId xmlns="" xmlns:a16="http://schemas.microsoft.com/office/drawing/2014/main" id="{ADE2A8E3-9A03-402B-BDE6-9D6E39FB2892}"/>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406" name="Text Box 11">
          <a:extLst>
            <a:ext uri="{FF2B5EF4-FFF2-40B4-BE49-F238E27FC236}">
              <a16:creationId xmlns="" xmlns:a16="http://schemas.microsoft.com/office/drawing/2014/main" id="{B214BB7A-03D9-4B3E-9E15-7E29A97699C8}"/>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407" name="Text Box 12">
          <a:extLst>
            <a:ext uri="{FF2B5EF4-FFF2-40B4-BE49-F238E27FC236}">
              <a16:creationId xmlns="" xmlns:a16="http://schemas.microsoft.com/office/drawing/2014/main" id="{D698ACC7-54CB-4C35-9A53-213908302197}"/>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408" name="Text Box 10">
          <a:extLst>
            <a:ext uri="{FF2B5EF4-FFF2-40B4-BE49-F238E27FC236}">
              <a16:creationId xmlns="" xmlns:a16="http://schemas.microsoft.com/office/drawing/2014/main" id="{A454EDF4-530B-406E-9E6C-D36DE3095F5A}"/>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409" name="Text Box 11">
          <a:extLst>
            <a:ext uri="{FF2B5EF4-FFF2-40B4-BE49-F238E27FC236}">
              <a16:creationId xmlns="" xmlns:a16="http://schemas.microsoft.com/office/drawing/2014/main" id="{0AFBF364-9F59-4C3C-BB54-3C4BD5CCDEF3}"/>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410" name="Text Box 12">
          <a:extLst>
            <a:ext uri="{FF2B5EF4-FFF2-40B4-BE49-F238E27FC236}">
              <a16:creationId xmlns="" xmlns:a16="http://schemas.microsoft.com/office/drawing/2014/main" id="{D2EF2FDD-28DF-479B-AC87-AE3BA307430B}"/>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411" name="Text Box 10">
          <a:extLst>
            <a:ext uri="{FF2B5EF4-FFF2-40B4-BE49-F238E27FC236}">
              <a16:creationId xmlns="" xmlns:a16="http://schemas.microsoft.com/office/drawing/2014/main" id="{9841F167-C65D-41AB-BFAA-1F939CCB77B9}"/>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412" name="Text Box 11">
          <a:extLst>
            <a:ext uri="{FF2B5EF4-FFF2-40B4-BE49-F238E27FC236}">
              <a16:creationId xmlns="" xmlns:a16="http://schemas.microsoft.com/office/drawing/2014/main" id="{C99B63BD-65D4-453C-90E1-216FF894B34D}"/>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413" name="Text Box 12">
          <a:extLst>
            <a:ext uri="{FF2B5EF4-FFF2-40B4-BE49-F238E27FC236}">
              <a16:creationId xmlns="" xmlns:a16="http://schemas.microsoft.com/office/drawing/2014/main" id="{35424AD5-FDDF-4C44-B913-2452E671E49F}"/>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414" name="Text Box 10">
          <a:extLst>
            <a:ext uri="{FF2B5EF4-FFF2-40B4-BE49-F238E27FC236}">
              <a16:creationId xmlns="" xmlns:a16="http://schemas.microsoft.com/office/drawing/2014/main" id="{890C8D32-5001-4C37-84C4-1F376077272E}"/>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415" name="Text Box 11">
          <a:extLst>
            <a:ext uri="{FF2B5EF4-FFF2-40B4-BE49-F238E27FC236}">
              <a16:creationId xmlns="" xmlns:a16="http://schemas.microsoft.com/office/drawing/2014/main" id="{B087FB4E-B722-4E4E-A8BA-CFE94F583F10}"/>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416" name="Text Box 12">
          <a:extLst>
            <a:ext uri="{FF2B5EF4-FFF2-40B4-BE49-F238E27FC236}">
              <a16:creationId xmlns="" xmlns:a16="http://schemas.microsoft.com/office/drawing/2014/main" id="{60BCFE1B-734E-4CDC-BD7E-F5301764291B}"/>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417" name="Text Box 10">
          <a:extLst>
            <a:ext uri="{FF2B5EF4-FFF2-40B4-BE49-F238E27FC236}">
              <a16:creationId xmlns="" xmlns:a16="http://schemas.microsoft.com/office/drawing/2014/main" id="{298480C0-CFF0-4DDF-90D2-807D81A3BEBC}"/>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418" name="Text Box 11">
          <a:extLst>
            <a:ext uri="{FF2B5EF4-FFF2-40B4-BE49-F238E27FC236}">
              <a16:creationId xmlns="" xmlns:a16="http://schemas.microsoft.com/office/drawing/2014/main" id="{9F316826-AEB6-4AD9-8EFF-661A679C565F}"/>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419" name="Text Box 12">
          <a:extLst>
            <a:ext uri="{FF2B5EF4-FFF2-40B4-BE49-F238E27FC236}">
              <a16:creationId xmlns="" xmlns:a16="http://schemas.microsoft.com/office/drawing/2014/main" id="{9C29BF0A-E764-43CF-AC5F-FD9455300145}"/>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420" name="Text Box 10">
          <a:extLst>
            <a:ext uri="{FF2B5EF4-FFF2-40B4-BE49-F238E27FC236}">
              <a16:creationId xmlns="" xmlns:a16="http://schemas.microsoft.com/office/drawing/2014/main" id="{3519CF87-AB17-47A5-9C04-37E0CADAE624}"/>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421" name="Text Box 11">
          <a:extLst>
            <a:ext uri="{FF2B5EF4-FFF2-40B4-BE49-F238E27FC236}">
              <a16:creationId xmlns="" xmlns:a16="http://schemas.microsoft.com/office/drawing/2014/main" id="{D89459BA-ECDC-4EA0-BFDE-04958106005A}"/>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422" name="Text Box 12">
          <a:extLst>
            <a:ext uri="{FF2B5EF4-FFF2-40B4-BE49-F238E27FC236}">
              <a16:creationId xmlns="" xmlns:a16="http://schemas.microsoft.com/office/drawing/2014/main" id="{0D06C3C0-9768-49AD-B53A-FF9DA20D2D09}"/>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423" name="Text Box 10">
          <a:extLst>
            <a:ext uri="{FF2B5EF4-FFF2-40B4-BE49-F238E27FC236}">
              <a16:creationId xmlns="" xmlns:a16="http://schemas.microsoft.com/office/drawing/2014/main" id="{74088751-4D69-495B-929B-A1AF72296EFC}"/>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424" name="Text Box 11">
          <a:extLst>
            <a:ext uri="{FF2B5EF4-FFF2-40B4-BE49-F238E27FC236}">
              <a16:creationId xmlns="" xmlns:a16="http://schemas.microsoft.com/office/drawing/2014/main" id="{B9F44602-A1DA-4A5F-8C4F-E1A1AB217C02}"/>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425" name="Text Box 12">
          <a:extLst>
            <a:ext uri="{FF2B5EF4-FFF2-40B4-BE49-F238E27FC236}">
              <a16:creationId xmlns="" xmlns:a16="http://schemas.microsoft.com/office/drawing/2014/main" id="{D36E607E-26D4-4BE2-85B4-D469269A01AB}"/>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426" name="Text Box 10">
          <a:extLst>
            <a:ext uri="{FF2B5EF4-FFF2-40B4-BE49-F238E27FC236}">
              <a16:creationId xmlns="" xmlns:a16="http://schemas.microsoft.com/office/drawing/2014/main" id="{41235AB6-B458-437A-BFA5-410E32FA9AC8}"/>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427" name="Text Box 11">
          <a:extLst>
            <a:ext uri="{FF2B5EF4-FFF2-40B4-BE49-F238E27FC236}">
              <a16:creationId xmlns="" xmlns:a16="http://schemas.microsoft.com/office/drawing/2014/main" id="{4F86E4CA-B1DA-4E42-A657-346EC748BDED}"/>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428" name="Text Box 12">
          <a:extLst>
            <a:ext uri="{FF2B5EF4-FFF2-40B4-BE49-F238E27FC236}">
              <a16:creationId xmlns="" xmlns:a16="http://schemas.microsoft.com/office/drawing/2014/main" id="{0A8B69AF-A56D-40B2-8C00-E4AC4A5F46B5}"/>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429" name="Text Box 10">
          <a:extLst>
            <a:ext uri="{FF2B5EF4-FFF2-40B4-BE49-F238E27FC236}">
              <a16:creationId xmlns="" xmlns:a16="http://schemas.microsoft.com/office/drawing/2014/main" id="{B23FF175-2DEB-4705-BA08-B1A1D9CC2C31}"/>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430" name="Text Box 11">
          <a:extLst>
            <a:ext uri="{FF2B5EF4-FFF2-40B4-BE49-F238E27FC236}">
              <a16:creationId xmlns="" xmlns:a16="http://schemas.microsoft.com/office/drawing/2014/main" id="{BFC7AEA5-A57F-48F0-9A5A-DCC8EA7E2A10}"/>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431" name="Text Box 12">
          <a:extLst>
            <a:ext uri="{FF2B5EF4-FFF2-40B4-BE49-F238E27FC236}">
              <a16:creationId xmlns="" xmlns:a16="http://schemas.microsoft.com/office/drawing/2014/main" id="{FF653726-08D7-41E5-8292-F761B077F168}"/>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432" name="Text Box 10">
          <a:extLst>
            <a:ext uri="{FF2B5EF4-FFF2-40B4-BE49-F238E27FC236}">
              <a16:creationId xmlns="" xmlns:a16="http://schemas.microsoft.com/office/drawing/2014/main" id="{41B308B8-136F-45BA-8551-4CEF830BC836}"/>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433" name="Text Box 11">
          <a:extLst>
            <a:ext uri="{FF2B5EF4-FFF2-40B4-BE49-F238E27FC236}">
              <a16:creationId xmlns="" xmlns:a16="http://schemas.microsoft.com/office/drawing/2014/main" id="{5CCAC881-1F48-46D1-B65D-EC706CF88A5C}"/>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434" name="Text Box 12">
          <a:extLst>
            <a:ext uri="{FF2B5EF4-FFF2-40B4-BE49-F238E27FC236}">
              <a16:creationId xmlns="" xmlns:a16="http://schemas.microsoft.com/office/drawing/2014/main" id="{226E167C-4E04-498B-9D71-7B85437B1246}"/>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435" name="Text Box 10">
          <a:extLst>
            <a:ext uri="{FF2B5EF4-FFF2-40B4-BE49-F238E27FC236}">
              <a16:creationId xmlns="" xmlns:a16="http://schemas.microsoft.com/office/drawing/2014/main" id="{68811BB2-4CD3-4FBE-A2A8-E63420537B58}"/>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436" name="Text Box 11">
          <a:extLst>
            <a:ext uri="{FF2B5EF4-FFF2-40B4-BE49-F238E27FC236}">
              <a16:creationId xmlns="" xmlns:a16="http://schemas.microsoft.com/office/drawing/2014/main" id="{5C2FEFC9-5A74-42DB-A1A1-8C6479A9E078}"/>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437" name="Text Box 12">
          <a:extLst>
            <a:ext uri="{FF2B5EF4-FFF2-40B4-BE49-F238E27FC236}">
              <a16:creationId xmlns="" xmlns:a16="http://schemas.microsoft.com/office/drawing/2014/main" id="{4EA977E3-AA3D-40B5-BB8E-296EA904D5C9}"/>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438" name="Text Box 10">
          <a:extLst>
            <a:ext uri="{FF2B5EF4-FFF2-40B4-BE49-F238E27FC236}">
              <a16:creationId xmlns="" xmlns:a16="http://schemas.microsoft.com/office/drawing/2014/main" id="{3EB97692-F02A-413F-A0E4-4D8E86938907}"/>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439" name="Text Box 11">
          <a:extLst>
            <a:ext uri="{FF2B5EF4-FFF2-40B4-BE49-F238E27FC236}">
              <a16:creationId xmlns="" xmlns:a16="http://schemas.microsoft.com/office/drawing/2014/main" id="{09172060-0645-4E27-9133-EC3B2E134B57}"/>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440" name="Text Box 12">
          <a:extLst>
            <a:ext uri="{FF2B5EF4-FFF2-40B4-BE49-F238E27FC236}">
              <a16:creationId xmlns="" xmlns:a16="http://schemas.microsoft.com/office/drawing/2014/main" id="{C735504F-6C18-4594-960E-409856BAD41A}"/>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441" name="Text Box 10">
          <a:extLst>
            <a:ext uri="{FF2B5EF4-FFF2-40B4-BE49-F238E27FC236}">
              <a16:creationId xmlns="" xmlns:a16="http://schemas.microsoft.com/office/drawing/2014/main" id="{B0348C15-227C-44EF-84A7-10C248B37FB0}"/>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442" name="Text Box 11">
          <a:extLst>
            <a:ext uri="{FF2B5EF4-FFF2-40B4-BE49-F238E27FC236}">
              <a16:creationId xmlns="" xmlns:a16="http://schemas.microsoft.com/office/drawing/2014/main" id="{32E7E0A2-EEF1-4E95-9A0E-3A1E506B5BE1}"/>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443" name="Text Box 12">
          <a:extLst>
            <a:ext uri="{FF2B5EF4-FFF2-40B4-BE49-F238E27FC236}">
              <a16:creationId xmlns="" xmlns:a16="http://schemas.microsoft.com/office/drawing/2014/main" id="{B731CD61-2415-48EB-8201-D649824D7CB5}"/>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444" name="Text Box 10">
          <a:extLst>
            <a:ext uri="{FF2B5EF4-FFF2-40B4-BE49-F238E27FC236}">
              <a16:creationId xmlns="" xmlns:a16="http://schemas.microsoft.com/office/drawing/2014/main" id="{88E013DD-2454-48B7-869B-D718D7E2443A}"/>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445" name="Text Box 11">
          <a:extLst>
            <a:ext uri="{FF2B5EF4-FFF2-40B4-BE49-F238E27FC236}">
              <a16:creationId xmlns="" xmlns:a16="http://schemas.microsoft.com/office/drawing/2014/main" id="{0D451591-F6CC-4874-92DE-0505C6F375ED}"/>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446" name="Text Box 12">
          <a:extLst>
            <a:ext uri="{FF2B5EF4-FFF2-40B4-BE49-F238E27FC236}">
              <a16:creationId xmlns="" xmlns:a16="http://schemas.microsoft.com/office/drawing/2014/main" id="{FC9C9531-3284-4582-886A-D3F728FF7058}"/>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447" name="Text Box 10">
          <a:extLst>
            <a:ext uri="{FF2B5EF4-FFF2-40B4-BE49-F238E27FC236}">
              <a16:creationId xmlns="" xmlns:a16="http://schemas.microsoft.com/office/drawing/2014/main" id="{661B3CE1-05E4-4C50-843D-64B7D5E23164}"/>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448" name="Text Box 11">
          <a:extLst>
            <a:ext uri="{FF2B5EF4-FFF2-40B4-BE49-F238E27FC236}">
              <a16:creationId xmlns="" xmlns:a16="http://schemas.microsoft.com/office/drawing/2014/main" id="{6471E54C-59AB-41F6-A79B-2BC3C7F4AB9E}"/>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449" name="Text Box 12">
          <a:extLst>
            <a:ext uri="{FF2B5EF4-FFF2-40B4-BE49-F238E27FC236}">
              <a16:creationId xmlns="" xmlns:a16="http://schemas.microsoft.com/office/drawing/2014/main" id="{7415D73A-4CFB-4952-91C1-DC88D23CBEA4}"/>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450" name="Text Box 10">
          <a:extLst>
            <a:ext uri="{FF2B5EF4-FFF2-40B4-BE49-F238E27FC236}">
              <a16:creationId xmlns="" xmlns:a16="http://schemas.microsoft.com/office/drawing/2014/main" id="{81F1D0BC-BD1D-431C-8524-022D3FEA3AFD}"/>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451" name="Text Box 11">
          <a:extLst>
            <a:ext uri="{FF2B5EF4-FFF2-40B4-BE49-F238E27FC236}">
              <a16:creationId xmlns="" xmlns:a16="http://schemas.microsoft.com/office/drawing/2014/main" id="{18BD9E57-0169-4548-9399-0B3247D6B6F6}"/>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452" name="Text Box 12">
          <a:extLst>
            <a:ext uri="{FF2B5EF4-FFF2-40B4-BE49-F238E27FC236}">
              <a16:creationId xmlns="" xmlns:a16="http://schemas.microsoft.com/office/drawing/2014/main" id="{88D055BE-AABC-4835-90A9-75F881482FAB}"/>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453" name="Text Box 10">
          <a:extLst>
            <a:ext uri="{FF2B5EF4-FFF2-40B4-BE49-F238E27FC236}">
              <a16:creationId xmlns="" xmlns:a16="http://schemas.microsoft.com/office/drawing/2014/main" id="{FA1FE1FC-4715-402E-9257-46AD1D700D19}"/>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454" name="Text Box 11">
          <a:extLst>
            <a:ext uri="{FF2B5EF4-FFF2-40B4-BE49-F238E27FC236}">
              <a16:creationId xmlns="" xmlns:a16="http://schemas.microsoft.com/office/drawing/2014/main" id="{2F7118FC-47A7-47F3-9A0B-B1387EBCAC0B}"/>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455" name="Text Box 12">
          <a:extLst>
            <a:ext uri="{FF2B5EF4-FFF2-40B4-BE49-F238E27FC236}">
              <a16:creationId xmlns="" xmlns:a16="http://schemas.microsoft.com/office/drawing/2014/main" id="{53261C0D-49E7-4C0B-975F-A0AFA43D7CF3}"/>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456" name="Text Box 10">
          <a:extLst>
            <a:ext uri="{FF2B5EF4-FFF2-40B4-BE49-F238E27FC236}">
              <a16:creationId xmlns="" xmlns:a16="http://schemas.microsoft.com/office/drawing/2014/main" id="{C3D38C8D-C2F3-4AE5-9078-B26E425D8EE3}"/>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457" name="Text Box 11">
          <a:extLst>
            <a:ext uri="{FF2B5EF4-FFF2-40B4-BE49-F238E27FC236}">
              <a16:creationId xmlns="" xmlns:a16="http://schemas.microsoft.com/office/drawing/2014/main" id="{40645C84-2307-437F-BD0D-B898DFF4A7C1}"/>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458" name="Text Box 12">
          <a:extLst>
            <a:ext uri="{FF2B5EF4-FFF2-40B4-BE49-F238E27FC236}">
              <a16:creationId xmlns="" xmlns:a16="http://schemas.microsoft.com/office/drawing/2014/main" id="{642FD82F-0F17-41D2-AE74-6F5CC31DC88A}"/>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459" name="Text Box 10">
          <a:extLst>
            <a:ext uri="{FF2B5EF4-FFF2-40B4-BE49-F238E27FC236}">
              <a16:creationId xmlns="" xmlns:a16="http://schemas.microsoft.com/office/drawing/2014/main" id="{2D080451-CB5E-459B-9717-6530A044090E}"/>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460" name="Text Box 11">
          <a:extLst>
            <a:ext uri="{FF2B5EF4-FFF2-40B4-BE49-F238E27FC236}">
              <a16:creationId xmlns="" xmlns:a16="http://schemas.microsoft.com/office/drawing/2014/main" id="{4A010D2E-C349-4640-A897-11AB0991F049}"/>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461" name="Text Box 12">
          <a:extLst>
            <a:ext uri="{FF2B5EF4-FFF2-40B4-BE49-F238E27FC236}">
              <a16:creationId xmlns="" xmlns:a16="http://schemas.microsoft.com/office/drawing/2014/main" id="{BB734D84-09F0-4E02-BD2E-B660BA6BF3D0}"/>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462" name="Text Box 10">
          <a:extLst>
            <a:ext uri="{FF2B5EF4-FFF2-40B4-BE49-F238E27FC236}">
              <a16:creationId xmlns="" xmlns:a16="http://schemas.microsoft.com/office/drawing/2014/main" id="{888D8C9A-0554-4C55-A49E-BFBA9D483877}"/>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463" name="Text Box 11">
          <a:extLst>
            <a:ext uri="{FF2B5EF4-FFF2-40B4-BE49-F238E27FC236}">
              <a16:creationId xmlns="" xmlns:a16="http://schemas.microsoft.com/office/drawing/2014/main" id="{57158C36-DB19-404A-9A1A-C9B350B2E753}"/>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464" name="Text Box 12">
          <a:extLst>
            <a:ext uri="{FF2B5EF4-FFF2-40B4-BE49-F238E27FC236}">
              <a16:creationId xmlns="" xmlns:a16="http://schemas.microsoft.com/office/drawing/2014/main" id="{D00C458B-B06A-4B41-A83B-9C228A804520}"/>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465" name="Text Box 10">
          <a:extLst>
            <a:ext uri="{FF2B5EF4-FFF2-40B4-BE49-F238E27FC236}">
              <a16:creationId xmlns="" xmlns:a16="http://schemas.microsoft.com/office/drawing/2014/main" id="{08806410-18B2-4847-B874-04FC9E2EEE59}"/>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466" name="Text Box 11">
          <a:extLst>
            <a:ext uri="{FF2B5EF4-FFF2-40B4-BE49-F238E27FC236}">
              <a16:creationId xmlns="" xmlns:a16="http://schemas.microsoft.com/office/drawing/2014/main" id="{41A9955B-BA11-4B0B-B277-275A6A260986}"/>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467" name="Text Box 12">
          <a:extLst>
            <a:ext uri="{FF2B5EF4-FFF2-40B4-BE49-F238E27FC236}">
              <a16:creationId xmlns="" xmlns:a16="http://schemas.microsoft.com/office/drawing/2014/main" id="{D60613CB-63EC-4799-A17B-87545B54EE8A}"/>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468" name="Text Box 10">
          <a:extLst>
            <a:ext uri="{FF2B5EF4-FFF2-40B4-BE49-F238E27FC236}">
              <a16:creationId xmlns="" xmlns:a16="http://schemas.microsoft.com/office/drawing/2014/main" id="{1C7F9E22-4821-4ACD-9976-4A68CA2DE1DB}"/>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469" name="Text Box 11">
          <a:extLst>
            <a:ext uri="{FF2B5EF4-FFF2-40B4-BE49-F238E27FC236}">
              <a16:creationId xmlns="" xmlns:a16="http://schemas.microsoft.com/office/drawing/2014/main" id="{4FFECA3B-15F4-4388-9415-EA98B27D801D}"/>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470" name="Text Box 12">
          <a:extLst>
            <a:ext uri="{FF2B5EF4-FFF2-40B4-BE49-F238E27FC236}">
              <a16:creationId xmlns="" xmlns:a16="http://schemas.microsoft.com/office/drawing/2014/main" id="{711BB5BC-AC0B-43D6-9116-3663D3C8C115}"/>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471" name="Text Box 10">
          <a:extLst>
            <a:ext uri="{FF2B5EF4-FFF2-40B4-BE49-F238E27FC236}">
              <a16:creationId xmlns="" xmlns:a16="http://schemas.microsoft.com/office/drawing/2014/main" id="{2EECCDB2-A496-4A75-B640-EACC8B427825}"/>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472" name="Text Box 11">
          <a:extLst>
            <a:ext uri="{FF2B5EF4-FFF2-40B4-BE49-F238E27FC236}">
              <a16:creationId xmlns="" xmlns:a16="http://schemas.microsoft.com/office/drawing/2014/main" id="{E6583D5D-CEA8-4A36-9E0C-50C1DCC60C4B}"/>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473" name="Text Box 12">
          <a:extLst>
            <a:ext uri="{FF2B5EF4-FFF2-40B4-BE49-F238E27FC236}">
              <a16:creationId xmlns="" xmlns:a16="http://schemas.microsoft.com/office/drawing/2014/main" id="{A1C1F9E5-F82A-4A3E-9D54-DF7972706C37}"/>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474" name="Text Box 10">
          <a:extLst>
            <a:ext uri="{FF2B5EF4-FFF2-40B4-BE49-F238E27FC236}">
              <a16:creationId xmlns="" xmlns:a16="http://schemas.microsoft.com/office/drawing/2014/main" id="{A24268CB-689C-44AF-AE25-8AE4454959B3}"/>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475" name="Text Box 11">
          <a:extLst>
            <a:ext uri="{FF2B5EF4-FFF2-40B4-BE49-F238E27FC236}">
              <a16:creationId xmlns="" xmlns:a16="http://schemas.microsoft.com/office/drawing/2014/main" id="{64D52614-D970-4FB1-8B5B-4B084028E669}"/>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476" name="Text Box 12">
          <a:extLst>
            <a:ext uri="{FF2B5EF4-FFF2-40B4-BE49-F238E27FC236}">
              <a16:creationId xmlns="" xmlns:a16="http://schemas.microsoft.com/office/drawing/2014/main" id="{77CF05DF-3EDC-4505-99E0-67E77F4139FF}"/>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477" name="Text Box 10">
          <a:extLst>
            <a:ext uri="{FF2B5EF4-FFF2-40B4-BE49-F238E27FC236}">
              <a16:creationId xmlns="" xmlns:a16="http://schemas.microsoft.com/office/drawing/2014/main" id="{A16CBEE1-D2D1-4967-95B1-D1C1FA9E46F1}"/>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478" name="Text Box 11">
          <a:extLst>
            <a:ext uri="{FF2B5EF4-FFF2-40B4-BE49-F238E27FC236}">
              <a16:creationId xmlns="" xmlns:a16="http://schemas.microsoft.com/office/drawing/2014/main" id="{C52A1590-C21B-4FE5-A66B-8DB8AF242EDE}"/>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479" name="Text Box 12">
          <a:extLst>
            <a:ext uri="{FF2B5EF4-FFF2-40B4-BE49-F238E27FC236}">
              <a16:creationId xmlns="" xmlns:a16="http://schemas.microsoft.com/office/drawing/2014/main" id="{13DC1727-AB6F-4B6A-AC5C-47C4560309C7}"/>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480" name="Text Box 10">
          <a:extLst>
            <a:ext uri="{FF2B5EF4-FFF2-40B4-BE49-F238E27FC236}">
              <a16:creationId xmlns="" xmlns:a16="http://schemas.microsoft.com/office/drawing/2014/main" id="{6CF94536-FE27-4F0E-AED9-4DC8E51EC69C}"/>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481" name="Text Box 11">
          <a:extLst>
            <a:ext uri="{FF2B5EF4-FFF2-40B4-BE49-F238E27FC236}">
              <a16:creationId xmlns="" xmlns:a16="http://schemas.microsoft.com/office/drawing/2014/main" id="{0F7D7898-C6EA-4C6E-95B4-4444AE59EB5C}"/>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482" name="Text Box 12">
          <a:extLst>
            <a:ext uri="{FF2B5EF4-FFF2-40B4-BE49-F238E27FC236}">
              <a16:creationId xmlns="" xmlns:a16="http://schemas.microsoft.com/office/drawing/2014/main" id="{95F647E4-15E9-4641-B576-1B668FCDB199}"/>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483" name="Text Box 10">
          <a:extLst>
            <a:ext uri="{FF2B5EF4-FFF2-40B4-BE49-F238E27FC236}">
              <a16:creationId xmlns="" xmlns:a16="http://schemas.microsoft.com/office/drawing/2014/main" id="{B0B35521-F0E8-4EFB-B5F9-7AB6FB83CF76}"/>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484" name="Text Box 11">
          <a:extLst>
            <a:ext uri="{FF2B5EF4-FFF2-40B4-BE49-F238E27FC236}">
              <a16:creationId xmlns="" xmlns:a16="http://schemas.microsoft.com/office/drawing/2014/main" id="{E8D3C00E-FAFC-4BD4-9268-26716BAD4363}"/>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485" name="Text Box 12">
          <a:extLst>
            <a:ext uri="{FF2B5EF4-FFF2-40B4-BE49-F238E27FC236}">
              <a16:creationId xmlns="" xmlns:a16="http://schemas.microsoft.com/office/drawing/2014/main" id="{9C86BBE3-6086-4C4E-B340-929489C54B5F}"/>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486" name="Text Box 10">
          <a:extLst>
            <a:ext uri="{FF2B5EF4-FFF2-40B4-BE49-F238E27FC236}">
              <a16:creationId xmlns="" xmlns:a16="http://schemas.microsoft.com/office/drawing/2014/main" id="{633B71DF-3741-43BD-9FC1-EB95B300887A}"/>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487" name="Text Box 11">
          <a:extLst>
            <a:ext uri="{FF2B5EF4-FFF2-40B4-BE49-F238E27FC236}">
              <a16:creationId xmlns="" xmlns:a16="http://schemas.microsoft.com/office/drawing/2014/main" id="{CADD699B-F375-4588-B0DD-DAAE4769C2D7}"/>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488" name="Text Box 12">
          <a:extLst>
            <a:ext uri="{FF2B5EF4-FFF2-40B4-BE49-F238E27FC236}">
              <a16:creationId xmlns="" xmlns:a16="http://schemas.microsoft.com/office/drawing/2014/main" id="{9363E088-BD52-4206-A206-A71CCC3CC382}"/>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489" name="Text Box 10">
          <a:extLst>
            <a:ext uri="{FF2B5EF4-FFF2-40B4-BE49-F238E27FC236}">
              <a16:creationId xmlns="" xmlns:a16="http://schemas.microsoft.com/office/drawing/2014/main" id="{408D0467-1EDA-48E5-B3A0-B142F2EE94A5}"/>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490" name="Text Box 11">
          <a:extLst>
            <a:ext uri="{FF2B5EF4-FFF2-40B4-BE49-F238E27FC236}">
              <a16:creationId xmlns="" xmlns:a16="http://schemas.microsoft.com/office/drawing/2014/main" id="{6DD75F1A-0EBE-4B8E-A1D3-2B966B992F13}"/>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491" name="Text Box 12">
          <a:extLst>
            <a:ext uri="{FF2B5EF4-FFF2-40B4-BE49-F238E27FC236}">
              <a16:creationId xmlns="" xmlns:a16="http://schemas.microsoft.com/office/drawing/2014/main" id="{92BC4EC7-47E0-459A-B3F8-2158986237F2}"/>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492" name="Text Box 10">
          <a:extLst>
            <a:ext uri="{FF2B5EF4-FFF2-40B4-BE49-F238E27FC236}">
              <a16:creationId xmlns="" xmlns:a16="http://schemas.microsoft.com/office/drawing/2014/main" id="{4DC6B63F-2727-48DC-BF7D-A9580AEFA2AA}"/>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493" name="Text Box 11">
          <a:extLst>
            <a:ext uri="{FF2B5EF4-FFF2-40B4-BE49-F238E27FC236}">
              <a16:creationId xmlns="" xmlns:a16="http://schemas.microsoft.com/office/drawing/2014/main" id="{C8D6F4DD-F268-4EB5-BCC8-118A9B7564B6}"/>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494" name="Text Box 12">
          <a:extLst>
            <a:ext uri="{FF2B5EF4-FFF2-40B4-BE49-F238E27FC236}">
              <a16:creationId xmlns="" xmlns:a16="http://schemas.microsoft.com/office/drawing/2014/main" id="{C925C080-2E82-4A17-83A3-6B9A439F18D1}"/>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495" name="Text Box 10">
          <a:extLst>
            <a:ext uri="{FF2B5EF4-FFF2-40B4-BE49-F238E27FC236}">
              <a16:creationId xmlns="" xmlns:a16="http://schemas.microsoft.com/office/drawing/2014/main" id="{788AFAEF-FA80-4A1B-8102-A86BFB820C73}"/>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496" name="Text Box 11">
          <a:extLst>
            <a:ext uri="{FF2B5EF4-FFF2-40B4-BE49-F238E27FC236}">
              <a16:creationId xmlns="" xmlns:a16="http://schemas.microsoft.com/office/drawing/2014/main" id="{936D62AF-B59C-4FF1-A240-8B318693F810}"/>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497" name="Text Box 12">
          <a:extLst>
            <a:ext uri="{FF2B5EF4-FFF2-40B4-BE49-F238E27FC236}">
              <a16:creationId xmlns="" xmlns:a16="http://schemas.microsoft.com/office/drawing/2014/main" id="{5C1986F6-E653-4EFF-ABDD-523DC823E706}"/>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498" name="Text Box 10">
          <a:extLst>
            <a:ext uri="{FF2B5EF4-FFF2-40B4-BE49-F238E27FC236}">
              <a16:creationId xmlns="" xmlns:a16="http://schemas.microsoft.com/office/drawing/2014/main" id="{255391CB-B9C0-4BF3-8564-978E740D6101}"/>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499" name="Text Box 11">
          <a:extLst>
            <a:ext uri="{FF2B5EF4-FFF2-40B4-BE49-F238E27FC236}">
              <a16:creationId xmlns="" xmlns:a16="http://schemas.microsoft.com/office/drawing/2014/main" id="{17EE5443-ACEF-42CD-928D-9A8A979F4C89}"/>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500" name="Text Box 12">
          <a:extLst>
            <a:ext uri="{FF2B5EF4-FFF2-40B4-BE49-F238E27FC236}">
              <a16:creationId xmlns="" xmlns:a16="http://schemas.microsoft.com/office/drawing/2014/main" id="{07F1DBF8-93CD-4A45-A345-B4FD74A5DD87}"/>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501" name="Text Box 10">
          <a:extLst>
            <a:ext uri="{FF2B5EF4-FFF2-40B4-BE49-F238E27FC236}">
              <a16:creationId xmlns="" xmlns:a16="http://schemas.microsoft.com/office/drawing/2014/main" id="{A432D885-7EF9-4D48-805A-05540C1402C2}"/>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502" name="Text Box 11">
          <a:extLst>
            <a:ext uri="{FF2B5EF4-FFF2-40B4-BE49-F238E27FC236}">
              <a16:creationId xmlns="" xmlns:a16="http://schemas.microsoft.com/office/drawing/2014/main" id="{AC72F699-78EF-442A-8760-674468A07F58}"/>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503" name="Text Box 12">
          <a:extLst>
            <a:ext uri="{FF2B5EF4-FFF2-40B4-BE49-F238E27FC236}">
              <a16:creationId xmlns="" xmlns:a16="http://schemas.microsoft.com/office/drawing/2014/main" id="{2E6572C0-CA58-4066-87C3-A85B02087572}"/>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504" name="Text Box 10">
          <a:extLst>
            <a:ext uri="{FF2B5EF4-FFF2-40B4-BE49-F238E27FC236}">
              <a16:creationId xmlns="" xmlns:a16="http://schemas.microsoft.com/office/drawing/2014/main" id="{F519811F-8CF5-4DFF-A35F-0194D48E4701}"/>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505" name="Text Box 11">
          <a:extLst>
            <a:ext uri="{FF2B5EF4-FFF2-40B4-BE49-F238E27FC236}">
              <a16:creationId xmlns="" xmlns:a16="http://schemas.microsoft.com/office/drawing/2014/main" id="{311B1F2D-A18B-4394-BCFB-B39A65A3AC43}"/>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506" name="Text Box 12">
          <a:extLst>
            <a:ext uri="{FF2B5EF4-FFF2-40B4-BE49-F238E27FC236}">
              <a16:creationId xmlns="" xmlns:a16="http://schemas.microsoft.com/office/drawing/2014/main" id="{A681A3BB-4C50-4C97-B473-AD054F4E2AB3}"/>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507" name="Text Box 10">
          <a:extLst>
            <a:ext uri="{FF2B5EF4-FFF2-40B4-BE49-F238E27FC236}">
              <a16:creationId xmlns="" xmlns:a16="http://schemas.microsoft.com/office/drawing/2014/main" id="{60A77F67-DA15-4B4F-9A76-20A1991C1774}"/>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508" name="Text Box 11">
          <a:extLst>
            <a:ext uri="{FF2B5EF4-FFF2-40B4-BE49-F238E27FC236}">
              <a16:creationId xmlns="" xmlns:a16="http://schemas.microsoft.com/office/drawing/2014/main" id="{D2E2F6A3-A969-46BB-BAC6-7F3EC9BBEC3F}"/>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509" name="Text Box 12">
          <a:extLst>
            <a:ext uri="{FF2B5EF4-FFF2-40B4-BE49-F238E27FC236}">
              <a16:creationId xmlns="" xmlns:a16="http://schemas.microsoft.com/office/drawing/2014/main" id="{79E22573-93F3-4D5F-8EAF-1890D6F8F893}"/>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510" name="Text Box 10">
          <a:extLst>
            <a:ext uri="{FF2B5EF4-FFF2-40B4-BE49-F238E27FC236}">
              <a16:creationId xmlns="" xmlns:a16="http://schemas.microsoft.com/office/drawing/2014/main" id="{E2A6D96A-1005-42FF-860B-DB46DB6F045F}"/>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511" name="Text Box 11">
          <a:extLst>
            <a:ext uri="{FF2B5EF4-FFF2-40B4-BE49-F238E27FC236}">
              <a16:creationId xmlns="" xmlns:a16="http://schemas.microsoft.com/office/drawing/2014/main" id="{9FB8BF5A-3033-411E-B31B-6D555104D207}"/>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512" name="Text Box 12">
          <a:extLst>
            <a:ext uri="{FF2B5EF4-FFF2-40B4-BE49-F238E27FC236}">
              <a16:creationId xmlns="" xmlns:a16="http://schemas.microsoft.com/office/drawing/2014/main" id="{543541C9-B3FF-4D06-B39D-B1726F1B6122}"/>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513" name="Text Box 10">
          <a:extLst>
            <a:ext uri="{FF2B5EF4-FFF2-40B4-BE49-F238E27FC236}">
              <a16:creationId xmlns="" xmlns:a16="http://schemas.microsoft.com/office/drawing/2014/main" id="{7F5EAD8E-C0DF-44B2-B561-47599DDE1DFA}"/>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514" name="Text Box 11">
          <a:extLst>
            <a:ext uri="{FF2B5EF4-FFF2-40B4-BE49-F238E27FC236}">
              <a16:creationId xmlns="" xmlns:a16="http://schemas.microsoft.com/office/drawing/2014/main" id="{72902EEC-CBBE-4922-AD8D-CA5561C9E9F0}"/>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515" name="Text Box 12">
          <a:extLst>
            <a:ext uri="{FF2B5EF4-FFF2-40B4-BE49-F238E27FC236}">
              <a16:creationId xmlns="" xmlns:a16="http://schemas.microsoft.com/office/drawing/2014/main" id="{64E9E585-F77F-4FD9-8147-DD4E06D40C9D}"/>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516" name="Text Box 10">
          <a:extLst>
            <a:ext uri="{FF2B5EF4-FFF2-40B4-BE49-F238E27FC236}">
              <a16:creationId xmlns="" xmlns:a16="http://schemas.microsoft.com/office/drawing/2014/main" id="{7C624F50-BDF0-4A33-825C-59A55D3C1C25}"/>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517" name="Text Box 11">
          <a:extLst>
            <a:ext uri="{FF2B5EF4-FFF2-40B4-BE49-F238E27FC236}">
              <a16:creationId xmlns="" xmlns:a16="http://schemas.microsoft.com/office/drawing/2014/main" id="{61464972-29E7-4457-A329-8EAD5BF1FD6A}"/>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518" name="Text Box 12">
          <a:extLst>
            <a:ext uri="{FF2B5EF4-FFF2-40B4-BE49-F238E27FC236}">
              <a16:creationId xmlns="" xmlns:a16="http://schemas.microsoft.com/office/drawing/2014/main" id="{C6601329-68FB-46A0-8E07-BF8BE1D9D4F5}"/>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519" name="Text Box 10">
          <a:extLst>
            <a:ext uri="{FF2B5EF4-FFF2-40B4-BE49-F238E27FC236}">
              <a16:creationId xmlns="" xmlns:a16="http://schemas.microsoft.com/office/drawing/2014/main" id="{0D7DB296-DCBF-47A0-9247-FC3627D46CF8}"/>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520" name="Text Box 11">
          <a:extLst>
            <a:ext uri="{FF2B5EF4-FFF2-40B4-BE49-F238E27FC236}">
              <a16:creationId xmlns="" xmlns:a16="http://schemas.microsoft.com/office/drawing/2014/main" id="{A2462093-E8FB-4F0B-A062-FB2474DDE3BD}"/>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521" name="Text Box 12">
          <a:extLst>
            <a:ext uri="{FF2B5EF4-FFF2-40B4-BE49-F238E27FC236}">
              <a16:creationId xmlns="" xmlns:a16="http://schemas.microsoft.com/office/drawing/2014/main" id="{582B8C4E-7378-4D5D-BAFB-8E7F59A73F16}"/>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522" name="Text Box 10">
          <a:extLst>
            <a:ext uri="{FF2B5EF4-FFF2-40B4-BE49-F238E27FC236}">
              <a16:creationId xmlns="" xmlns:a16="http://schemas.microsoft.com/office/drawing/2014/main" id="{A560930D-62C9-43F5-B814-D9F1612E31D6}"/>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523" name="Text Box 11">
          <a:extLst>
            <a:ext uri="{FF2B5EF4-FFF2-40B4-BE49-F238E27FC236}">
              <a16:creationId xmlns="" xmlns:a16="http://schemas.microsoft.com/office/drawing/2014/main" id="{0A02741A-106A-42B7-8AB7-C959953B5EFC}"/>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524" name="Text Box 12">
          <a:extLst>
            <a:ext uri="{FF2B5EF4-FFF2-40B4-BE49-F238E27FC236}">
              <a16:creationId xmlns="" xmlns:a16="http://schemas.microsoft.com/office/drawing/2014/main" id="{42A0C969-ACC6-4BE5-BC03-A48579EEF3C6}"/>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525" name="Text Box 10">
          <a:extLst>
            <a:ext uri="{FF2B5EF4-FFF2-40B4-BE49-F238E27FC236}">
              <a16:creationId xmlns="" xmlns:a16="http://schemas.microsoft.com/office/drawing/2014/main" id="{411D5FE0-B598-46F0-943F-4CDF2BF0CF5D}"/>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526" name="Text Box 11">
          <a:extLst>
            <a:ext uri="{FF2B5EF4-FFF2-40B4-BE49-F238E27FC236}">
              <a16:creationId xmlns="" xmlns:a16="http://schemas.microsoft.com/office/drawing/2014/main" id="{F5E8731B-C2F7-4239-A381-61BF7FAEB87E}"/>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527" name="Text Box 12">
          <a:extLst>
            <a:ext uri="{FF2B5EF4-FFF2-40B4-BE49-F238E27FC236}">
              <a16:creationId xmlns="" xmlns:a16="http://schemas.microsoft.com/office/drawing/2014/main" id="{5B776F76-F5D0-4AE9-A69F-4B89FAB7855B}"/>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528" name="Text Box 10">
          <a:extLst>
            <a:ext uri="{FF2B5EF4-FFF2-40B4-BE49-F238E27FC236}">
              <a16:creationId xmlns="" xmlns:a16="http://schemas.microsoft.com/office/drawing/2014/main" id="{C98EA358-9D16-4982-8840-BB3EF6753512}"/>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529" name="Text Box 11">
          <a:extLst>
            <a:ext uri="{FF2B5EF4-FFF2-40B4-BE49-F238E27FC236}">
              <a16:creationId xmlns="" xmlns:a16="http://schemas.microsoft.com/office/drawing/2014/main" id="{E196EF4D-4118-440B-95C2-F467E1D85B50}"/>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530" name="Text Box 12">
          <a:extLst>
            <a:ext uri="{FF2B5EF4-FFF2-40B4-BE49-F238E27FC236}">
              <a16:creationId xmlns="" xmlns:a16="http://schemas.microsoft.com/office/drawing/2014/main" id="{513C8DE0-382F-44F2-87CA-60AA714653F5}"/>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531" name="Text Box 10">
          <a:extLst>
            <a:ext uri="{FF2B5EF4-FFF2-40B4-BE49-F238E27FC236}">
              <a16:creationId xmlns="" xmlns:a16="http://schemas.microsoft.com/office/drawing/2014/main" id="{5AE36296-6B5C-464F-B794-872F80EF03DF}"/>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532" name="Text Box 11">
          <a:extLst>
            <a:ext uri="{FF2B5EF4-FFF2-40B4-BE49-F238E27FC236}">
              <a16:creationId xmlns="" xmlns:a16="http://schemas.microsoft.com/office/drawing/2014/main" id="{33091DF3-AA95-4644-B5C6-5D86FC70131D}"/>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533" name="Text Box 12">
          <a:extLst>
            <a:ext uri="{FF2B5EF4-FFF2-40B4-BE49-F238E27FC236}">
              <a16:creationId xmlns="" xmlns:a16="http://schemas.microsoft.com/office/drawing/2014/main" id="{D251DDFC-5238-4E23-8327-C3D05EAF484D}"/>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534" name="Text Box 10">
          <a:extLst>
            <a:ext uri="{FF2B5EF4-FFF2-40B4-BE49-F238E27FC236}">
              <a16:creationId xmlns="" xmlns:a16="http://schemas.microsoft.com/office/drawing/2014/main" id="{D21F29AC-D798-4427-A95C-9CB0D7461D51}"/>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535" name="Text Box 11">
          <a:extLst>
            <a:ext uri="{FF2B5EF4-FFF2-40B4-BE49-F238E27FC236}">
              <a16:creationId xmlns="" xmlns:a16="http://schemas.microsoft.com/office/drawing/2014/main" id="{E229F3C6-6F2B-43A9-B6A3-58973DA82353}"/>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536" name="Text Box 12">
          <a:extLst>
            <a:ext uri="{FF2B5EF4-FFF2-40B4-BE49-F238E27FC236}">
              <a16:creationId xmlns="" xmlns:a16="http://schemas.microsoft.com/office/drawing/2014/main" id="{64473AE8-D55C-45D3-B7A3-9FF92C71E201}"/>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537" name="Text Box 10">
          <a:extLst>
            <a:ext uri="{FF2B5EF4-FFF2-40B4-BE49-F238E27FC236}">
              <a16:creationId xmlns="" xmlns:a16="http://schemas.microsoft.com/office/drawing/2014/main" id="{4739205C-7B03-4E34-8829-F5F9B304CEC2}"/>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538" name="Text Box 11">
          <a:extLst>
            <a:ext uri="{FF2B5EF4-FFF2-40B4-BE49-F238E27FC236}">
              <a16:creationId xmlns="" xmlns:a16="http://schemas.microsoft.com/office/drawing/2014/main" id="{36CDE907-522D-4C82-AF46-F9D9BB00B7FA}"/>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539" name="Text Box 12">
          <a:extLst>
            <a:ext uri="{FF2B5EF4-FFF2-40B4-BE49-F238E27FC236}">
              <a16:creationId xmlns="" xmlns:a16="http://schemas.microsoft.com/office/drawing/2014/main" id="{9C89AF16-8123-4C35-9616-6B508702E38E}"/>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540" name="Text Box 10">
          <a:extLst>
            <a:ext uri="{FF2B5EF4-FFF2-40B4-BE49-F238E27FC236}">
              <a16:creationId xmlns="" xmlns:a16="http://schemas.microsoft.com/office/drawing/2014/main" id="{2E8C3923-F203-4C38-8CE7-D534F1E6F8E4}"/>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541" name="Text Box 11">
          <a:extLst>
            <a:ext uri="{FF2B5EF4-FFF2-40B4-BE49-F238E27FC236}">
              <a16:creationId xmlns="" xmlns:a16="http://schemas.microsoft.com/office/drawing/2014/main" id="{3CC27D22-7417-4954-A1AB-0F76F2803F49}"/>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104775</xdr:colOff>
      <xdr:row>16</xdr:row>
      <xdr:rowOff>104485</xdr:rowOff>
    </xdr:to>
    <xdr:sp macro="" textlink="">
      <xdr:nvSpPr>
        <xdr:cNvPr id="1542" name="Text Box 12">
          <a:extLst>
            <a:ext uri="{FF2B5EF4-FFF2-40B4-BE49-F238E27FC236}">
              <a16:creationId xmlns="" xmlns:a16="http://schemas.microsoft.com/office/drawing/2014/main" id="{5DA2B3C9-A059-45C7-B973-38B353BC278B}"/>
            </a:ext>
          </a:extLst>
        </xdr:cNvPr>
        <xdr:cNvSpPr txBox="1">
          <a:spLocks noChangeArrowheads="1"/>
        </xdr:cNvSpPr>
      </xdr:nvSpPr>
      <xdr:spPr bwMode="auto">
        <a:xfrm>
          <a:off x="3381375" y="2981325"/>
          <a:ext cx="95250" cy="1430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85725</xdr:colOff>
      <xdr:row>15</xdr:row>
      <xdr:rowOff>253558</xdr:rowOff>
    </xdr:to>
    <xdr:sp macro="" textlink="">
      <xdr:nvSpPr>
        <xdr:cNvPr id="1543" name="Text Box 10">
          <a:extLst>
            <a:ext uri="{FF2B5EF4-FFF2-40B4-BE49-F238E27FC236}">
              <a16:creationId xmlns="" xmlns:a16="http://schemas.microsoft.com/office/drawing/2014/main" id="{F98C35D0-4F6F-4230-AE51-C257AFE18BDB}"/>
            </a:ext>
          </a:extLst>
        </xdr:cNvPr>
        <xdr:cNvSpPr txBox="1">
          <a:spLocks noChangeArrowheads="1"/>
        </xdr:cNvSpPr>
      </xdr:nvSpPr>
      <xdr:spPr bwMode="auto">
        <a:xfrm>
          <a:off x="3381375" y="2981325"/>
          <a:ext cx="76200" cy="1197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85725</xdr:colOff>
      <xdr:row>15</xdr:row>
      <xdr:rowOff>253558</xdr:rowOff>
    </xdr:to>
    <xdr:sp macro="" textlink="">
      <xdr:nvSpPr>
        <xdr:cNvPr id="1544" name="Text Box 11">
          <a:extLst>
            <a:ext uri="{FF2B5EF4-FFF2-40B4-BE49-F238E27FC236}">
              <a16:creationId xmlns="" xmlns:a16="http://schemas.microsoft.com/office/drawing/2014/main" id="{D09B77D0-1ACD-4B08-8F89-1BA0826094A9}"/>
            </a:ext>
          </a:extLst>
        </xdr:cNvPr>
        <xdr:cNvSpPr txBox="1">
          <a:spLocks noChangeArrowheads="1"/>
        </xdr:cNvSpPr>
      </xdr:nvSpPr>
      <xdr:spPr bwMode="auto">
        <a:xfrm>
          <a:off x="3381375" y="2981325"/>
          <a:ext cx="76200" cy="1197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85725</xdr:colOff>
      <xdr:row>15</xdr:row>
      <xdr:rowOff>253558</xdr:rowOff>
    </xdr:to>
    <xdr:sp macro="" textlink="">
      <xdr:nvSpPr>
        <xdr:cNvPr id="1545" name="Text Box 12">
          <a:extLst>
            <a:ext uri="{FF2B5EF4-FFF2-40B4-BE49-F238E27FC236}">
              <a16:creationId xmlns="" xmlns:a16="http://schemas.microsoft.com/office/drawing/2014/main" id="{808606AB-649B-4388-B044-B46B4DB0DCBD}"/>
            </a:ext>
          </a:extLst>
        </xdr:cNvPr>
        <xdr:cNvSpPr txBox="1">
          <a:spLocks noChangeArrowheads="1"/>
        </xdr:cNvSpPr>
      </xdr:nvSpPr>
      <xdr:spPr bwMode="auto">
        <a:xfrm>
          <a:off x="3381375" y="2981325"/>
          <a:ext cx="76200" cy="1197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85725</xdr:colOff>
      <xdr:row>15</xdr:row>
      <xdr:rowOff>253558</xdr:rowOff>
    </xdr:to>
    <xdr:sp macro="" textlink="">
      <xdr:nvSpPr>
        <xdr:cNvPr id="1546" name="Text Box 10">
          <a:extLst>
            <a:ext uri="{FF2B5EF4-FFF2-40B4-BE49-F238E27FC236}">
              <a16:creationId xmlns="" xmlns:a16="http://schemas.microsoft.com/office/drawing/2014/main" id="{3E1DBB26-9FF1-4FF5-8674-421C3DAD8B39}"/>
            </a:ext>
          </a:extLst>
        </xdr:cNvPr>
        <xdr:cNvSpPr txBox="1">
          <a:spLocks noChangeArrowheads="1"/>
        </xdr:cNvSpPr>
      </xdr:nvSpPr>
      <xdr:spPr bwMode="auto">
        <a:xfrm>
          <a:off x="3381375" y="2981325"/>
          <a:ext cx="76200" cy="1197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85725</xdr:colOff>
      <xdr:row>15</xdr:row>
      <xdr:rowOff>253558</xdr:rowOff>
    </xdr:to>
    <xdr:sp macro="" textlink="">
      <xdr:nvSpPr>
        <xdr:cNvPr id="1547" name="Text Box 11">
          <a:extLst>
            <a:ext uri="{FF2B5EF4-FFF2-40B4-BE49-F238E27FC236}">
              <a16:creationId xmlns="" xmlns:a16="http://schemas.microsoft.com/office/drawing/2014/main" id="{CC1A1C9F-A3E8-4577-8F21-5DC5F30E16F6}"/>
            </a:ext>
          </a:extLst>
        </xdr:cNvPr>
        <xdr:cNvSpPr txBox="1">
          <a:spLocks noChangeArrowheads="1"/>
        </xdr:cNvSpPr>
      </xdr:nvSpPr>
      <xdr:spPr bwMode="auto">
        <a:xfrm>
          <a:off x="3381375" y="2981325"/>
          <a:ext cx="76200" cy="1197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85725</xdr:colOff>
      <xdr:row>15</xdr:row>
      <xdr:rowOff>253558</xdr:rowOff>
    </xdr:to>
    <xdr:sp macro="" textlink="">
      <xdr:nvSpPr>
        <xdr:cNvPr id="1548" name="Text Box 12">
          <a:extLst>
            <a:ext uri="{FF2B5EF4-FFF2-40B4-BE49-F238E27FC236}">
              <a16:creationId xmlns="" xmlns:a16="http://schemas.microsoft.com/office/drawing/2014/main" id="{BA93A92C-C170-46FB-AD32-2AB98E1BEDFB}"/>
            </a:ext>
          </a:extLst>
        </xdr:cNvPr>
        <xdr:cNvSpPr txBox="1">
          <a:spLocks noChangeArrowheads="1"/>
        </xdr:cNvSpPr>
      </xdr:nvSpPr>
      <xdr:spPr bwMode="auto">
        <a:xfrm>
          <a:off x="3381375" y="2981325"/>
          <a:ext cx="76200" cy="1197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85725</xdr:colOff>
      <xdr:row>15</xdr:row>
      <xdr:rowOff>253558</xdr:rowOff>
    </xdr:to>
    <xdr:sp macro="" textlink="">
      <xdr:nvSpPr>
        <xdr:cNvPr id="1549" name="Text Box 10">
          <a:extLst>
            <a:ext uri="{FF2B5EF4-FFF2-40B4-BE49-F238E27FC236}">
              <a16:creationId xmlns="" xmlns:a16="http://schemas.microsoft.com/office/drawing/2014/main" id="{E35B9F0D-9331-4A7B-A44D-EAA0A3AF1C89}"/>
            </a:ext>
          </a:extLst>
        </xdr:cNvPr>
        <xdr:cNvSpPr txBox="1">
          <a:spLocks noChangeArrowheads="1"/>
        </xdr:cNvSpPr>
      </xdr:nvSpPr>
      <xdr:spPr bwMode="auto">
        <a:xfrm>
          <a:off x="3381375" y="2981325"/>
          <a:ext cx="76200" cy="1197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85725</xdr:colOff>
      <xdr:row>15</xdr:row>
      <xdr:rowOff>253558</xdr:rowOff>
    </xdr:to>
    <xdr:sp macro="" textlink="">
      <xdr:nvSpPr>
        <xdr:cNvPr id="1550" name="Text Box 11">
          <a:extLst>
            <a:ext uri="{FF2B5EF4-FFF2-40B4-BE49-F238E27FC236}">
              <a16:creationId xmlns="" xmlns:a16="http://schemas.microsoft.com/office/drawing/2014/main" id="{89D0E05E-87AF-40E5-8B78-5D014E041D04}"/>
            </a:ext>
          </a:extLst>
        </xdr:cNvPr>
        <xdr:cNvSpPr txBox="1">
          <a:spLocks noChangeArrowheads="1"/>
        </xdr:cNvSpPr>
      </xdr:nvSpPr>
      <xdr:spPr bwMode="auto">
        <a:xfrm>
          <a:off x="3381375" y="2981325"/>
          <a:ext cx="76200" cy="1197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85725</xdr:colOff>
      <xdr:row>15</xdr:row>
      <xdr:rowOff>253558</xdr:rowOff>
    </xdr:to>
    <xdr:sp macro="" textlink="">
      <xdr:nvSpPr>
        <xdr:cNvPr id="1551" name="Text Box 12">
          <a:extLst>
            <a:ext uri="{FF2B5EF4-FFF2-40B4-BE49-F238E27FC236}">
              <a16:creationId xmlns="" xmlns:a16="http://schemas.microsoft.com/office/drawing/2014/main" id="{43B0AA29-9141-43E8-A22A-16147742676A}"/>
            </a:ext>
          </a:extLst>
        </xdr:cNvPr>
        <xdr:cNvSpPr txBox="1">
          <a:spLocks noChangeArrowheads="1"/>
        </xdr:cNvSpPr>
      </xdr:nvSpPr>
      <xdr:spPr bwMode="auto">
        <a:xfrm>
          <a:off x="3381375" y="2981325"/>
          <a:ext cx="76200" cy="1197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85725</xdr:colOff>
      <xdr:row>15</xdr:row>
      <xdr:rowOff>253558</xdr:rowOff>
    </xdr:to>
    <xdr:sp macro="" textlink="">
      <xdr:nvSpPr>
        <xdr:cNvPr id="1552" name="Text Box 10">
          <a:extLst>
            <a:ext uri="{FF2B5EF4-FFF2-40B4-BE49-F238E27FC236}">
              <a16:creationId xmlns="" xmlns:a16="http://schemas.microsoft.com/office/drawing/2014/main" id="{78669545-B661-4A6F-BEE4-58458CAB9FE9}"/>
            </a:ext>
          </a:extLst>
        </xdr:cNvPr>
        <xdr:cNvSpPr txBox="1">
          <a:spLocks noChangeArrowheads="1"/>
        </xdr:cNvSpPr>
      </xdr:nvSpPr>
      <xdr:spPr bwMode="auto">
        <a:xfrm>
          <a:off x="3381375" y="2981325"/>
          <a:ext cx="76200" cy="1197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85725</xdr:colOff>
      <xdr:row>15</xdr:row>
      <xdr:rowOff>253558</xdr:rowOff>
    </xdr:to>
    <xdr:sp macro="" textlink="">
      <xdr:nvSpPr>
        <xdr:cNvPr id="1553" name="Text Box 11">
          <a:extLst>
            <a:ext uri="{FF2B5EF4-FFF2-40B4-BE49-F238E27FC236}">
              <a16:creationId xmlns="" xmlns:a16="http://schemas.microsoft.com/office/drawing/2014/main" id="{4DB45522-E753-4F41-82A3-D5889CC8F602}"/>
            </a:ext>
          </a:extLst>
        </xdr:cNvPr>
        <xdr:cNvSpPr txBox="1">
          <a:spLocks noChangeArrowheads="1"/>
        </xdr:cNvSpPr>
      </xdr:nvSpPr>
      <xdr:spPr bwMode="auto">
        <a:xfrm>
          <a:off x="3381375" y="2981325"/>
          <a:ext cx="76200" cy="1197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85725</xdr:colOff>
      <xdr:row>15</xdr:row>
      <xdr:rowOff>253558</xdr:rowOff>
    </xdr:to>
    <xdr:sp macro="" textlink="">
      <xdr:nvSpPr>
        <xdr:cNvPr id="1554" name="Text Box 12">
          <a:extLst>
            <a:ext uri="{FF2B5EF4-FFF2-40B4-BE49-F238E27FC236}">
              <a16:creationId xmlns="" xmlns:a16="http://schemas.microsoft.com/office/drawing/2014/main" id="{1D17F221-6998-4114-BDA9-B3D57D023AD8}"/>
            </a:ext>
          </a:extLst>
        </xdr:cNvPr>
        <xdr:cNvSpPr txBox="1">
          <a:spLocks noChangeArrowheads="1"/>
        </xdr:cNvSpPr>
      </xdr:nvSpPr>
      <xdr:spPr bwMode="auto">
        <a:xfrm>
          <a:off x="3381375" y="2981325"/>
          <a:ext cx="76200" cy="1197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85725</xdr:colOff>
      <xdr:row>15</xdr:row>
      <xdr:rowOff>253558</xdr:rowOff>
    </xdr:to>
    <xdr:sp macro="" textlink="">
      <xdr:nvSpPr>
        <xdr:cNvPr id="1555" name="Text Box 10">
          <a:extLst>
            <a:ext uri="{FF2B5EF4-FFF2-40B4-BE49-F238E27FC236}">
              <a16:creationId xmlns="" xmlns:a16="http://schemas.microsoft.com/office/drawing/2014/main" id="{6F6CE231-62A6-4396-9915-DBBD7FE134EB}"/>
            </a:ext>
          </a:extLst>
        </xdr:cNvPr>
        <xdr:cNvSpPr txBox="1">
          <a:spLocks noChangeArrowheads="1"/>
        </xdr:cNvSpPr>
      </xdr:nvSpPr>
      <xdr:spPr bwMode="auto">
        <a:xfrm>
          <a:off x="3381375" y="2981325"/>
          <a:ext cx="76200" cy="1197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85725</xdr:colOff>
      <xdr:row>15</xdr:row>
      <xdr:rowOff>253558</xdr:rowOff>
    </xdr:to>
    <xdr:sp macro="" textlink="">
      <xdr:nvSpPr>
        <xdr:cNvPr id="1556" name="Text Box 11">
          <a:extLst>
            <a:ext uri="{FF2B5EF4-FFF2-40B4-BE49-F238E27FC236}">
              <a16:creationId xmlns="" xmlns:a16="http://schemas.microsoft.com/office/drawing/2014/main" id="{F143EB3B-4358-4B02-BC2E-03B5F2BE665A}"/>
            </a:ext>
          </a:extLst>
        </xdr:cNvPr>
        <xdr:cNvSpPr txBox="1">
          <a:spLocks noChangeArrowheads="1"/>
        </xdr:cNvSpPr>
      </xdr:nvSpPr>
      <xdr:spPr bwMode="auto">
        <a:xfrm>
          <a:off x="3381375" y="2981325"/>
          <a:ext cx="76200" cy="1197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85725</xdr:colOff>
      <xdr:row>15</xdr:row>
      <xdr:rowOff>253558</xdr:rowOff>
    </xdr:to>
    <xdr:sp macro="" textlink="">
      <xdr:nvSpPr>
        <xdr:cNvPr id="1557" name="Text Box 12">
          <a:extLst>
            <a:ext uri="{FF2B5EF4-FFF2-40B4-BE49-F238E27FC236}">
              <a16:creationId xmlns="" xmlns:a16="http://schemas.microsoft.com/office/drawing/2014/main" id="{3E04FCDF-B60B-4155-BD86-DBD37336E98E}"/>
            </a:ext>
          </a:extLst>
        </xdr:cNvPr>
        <xdr:cNvSpPr txBox="1">
          <a:spLocks noChangeArrowheads="1"/>
        </xdr:cNvSpPr>
      </xdr:nvSpPr>
      <xdr:spPr bwMode="auto">
        <a:xfrm>
          <a:off x="3381375" y="2981325"/>
          <a:ext cx="76200" cy="1197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85725</xdr:colOff>
      <xdr:row>15</xdr:row>
      <xdr:rowOff>253558</xdr:rowOff>
    </xdr:to>
    <xdr:sp macro="" textlink="">
      <xdr:nvSpPr>
        <xdr:cNvPr id="1558" name="Text Box 10">
          <a:extLst>
            <a:ext uri="{FF2B5EF4-FFF2-40B4-BE49-F238E27FC236}">
              <a16:creationId xmlns="" xmlns:a16="http://schemas.microsoft.com/office/drawing/2014/main" id="{CBC08585-F407-491D-B2CD-231559A412CC}"/>
            </a:ext>
          </a:extLst>
        </xdr:cNvPr>
        <xdr:cNvSpPr txBox="1">
          <a:spLocks noChangeArrowheads="1"/>
        </xdr:cNvSpPr>
      </xdr:nvSpPr>
      <xdr:spPr bwMode="auto">
        <a:xfrm>
          <a:off x="3381375" y="2981325"/>
          <a:ext cx="76200" cy="1197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85725</xdr:colOff>
      <xdr:row>15</xdr:row>
      <xdr:rowOff>253558</xdr:rowOff>
    </xdr:to>
    <xdr:sp macro="" textlink="">
      <xdr:nvSpPr>
        <xdr:cNvPr id="1559" name="Text Box 11">
          <a:extLst>
            <a:ext uri="{FF2B5EF4-FFF2-40B4-BE49-F238E27FC236}">
              <a16:creationId xmlns="" xmlns:a16="http://schemas.microsoft.com/office/drawing/2014/main" id="{C2D6A977-1CC5-40E9-BAD3-6246C2A16614}"/>
            </a:ext>
          </a:extLst>
        </xdr:cNvPr>
        <xdr:cNvSpPr txBox="1">
          <a:spLocks noChangeArrowheads="1"/>
        </xdr:cNvSpPr>
      </xdr:nvSpPr>
      <xdr:spPr bwMode="auto">
        <a:xfrm>
          <a:off x="3381375" y="2981325"/>
          <a:ext cx="76200" cy="1197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85725</xdr:colOff>
      <xdr:row>15</xdr:row>
      <xdr:rowOff>253558</xdr:rowOff>
    </xdr:to>
    <xdr:sp macro="" textlink="">
      <xdr:nvSpPr>
        <xdr:cNvPr id="1560" name="Text Box 12">
          <a:extLst>
            <a:ext uri="{FF2B5EF4-FFF2-40B4-BE49-F238E27FC236}">
              <a16:creationId xmlns="" xmlns:a16="http://schemas.microsoft.com/office/drawing/2014/main" id="{8FE9D5E1-45EE-4C92-9D02-4726503468A2}"/>
            </a:ext>
          </a:extLst>
        </xdr:cNvPr>
        <xdr:cNvSpPr txBox="1">
          <a:spLocks noChangeArrowheads="1"/>
        </xdr:cNvSpPr>
      </xdr:nvSpPr>
      <xdr:spPr bwMode="auto">
        <a:xfrm>
          <a:off x="3381375" y="2981325"/>
          <a:ext cx="76200" cy="1197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85725</xdr:colOff>
      <xdr:row>15</xdr:row>
      <xdr:rowOff>253558</xdr:rowOff>
    </xdr:to>
    <xdr:sp macro="" textlink="">
      <xdr:nvSpPr>
        <xdr:cNvPr id="1561" name="Text Box 10">
          <a:extLst>
            <a:ext uri="{FF2B5EF4-FFF2-40B4-BE49-F238E27FC236}">
              <a16:creationId xmlns="" xmlns:a16="http://schemas.microsoft.com/office/drawing/2014/main" id="{9A854E49-8DD4-40C5-ABC1-4B55844CF5EB}"/>
            </a:ext>
          </a:extLst>
        </xdr:cNvPr>
        <xdr:cNvSpPr txBox="1">
          <a:spLocks noChangeArrowheads="1"/>
        </xdr:cNvSpPr>
      </xdr:nvSpPr>
      <xdr:spPr bwMode="auto">
        <a:xfrm>
          <a:off x="3381375" y="2981325"/>
          <a:ext cx="76200" cy="1197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85725</xdr:colOff>
      <xdr:row>15</xdr:row>
      <xdr:rowOff>253558</xdr:rowOff>
    </xdr:to>
    <xdr:sp macro="" textlink="">
      <xdr:nvSpPr>
        <xdr:cNvPr id="1562" name="Text Box 11">
          <a:extLst>
            <a:ext uri="{FF2B5EF4-FFF2-40B4-BE49-F238E27FC236}">
              <a16:creationId xmlns="" xmlns:a16="http://schemas.microsoft.com/office/drawing/2014/main" id="{5B808555-6CA1-429B-8069-927A83A0F169}"/>
            </a:ext>
          </a:extLst>
        </xdr:cNvPr>
        <xdr:cNvSpPr txBox="1">
          <a:spLocks noChangeArrowheads="1"/>
        </xdr:cNvSpPr>
      </xdr:nvSpPr>
      <xdr:spPr bwMode="auto">
        <a:xfrm>
          <a:off x="3381375" y="2981325"/>
          <a:ext cx="76200" cy="1197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85725</xdr:colOff>
      <xdr:row>15</xdr:row>
      <xdr:rowOff>253558</xdr:rowOff>
    </xdr:to>
    <xdr:sp macro="" textlink="">
      <xdr:nvSpPr>
        <xdr:cNvPr id="1563" name="Text Box 12">
          <a:extLst>
            <a:ext uri="{FF2B5EF4-FFF2-40B4-BE49-F238E27FC236}">
              <a16:creationId xmlns="" xmlns:a16="http://schemas.microsoft.com/office/drawing/2014/main" id="{E519A49C-FDD1-4E07-8421-7D661855ED7C}"/>
            </a:ext>
          </a:extLst>
        </xdr:cNvPr>
        <xdr:cNvSpPr txBox="1">
          <a:spLocks noChangeArrowheads="1"/>
        </xdr:cNvSpPr>
      </xdr:nvSpPr>
      <xdr:spPr bwMode="auto">
        <a:xfrm>
          <a:off x="3381375" y="2981325"/>
          <a:ext cx="76200" cy="1197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85725</xdr:colOff>
      <xdr:row>15</xdr:row>
      <xdr:rowOff>253558</xdr:rowOff>
    </xdr:to>
    <xdr:sp macro="" textlink="">
      <xdr:nvSpPr>
        <xdr:cNvPr id="1564" name="Text Box 10">
          <a:extLst>
            <a:ext uri="{FF2B5EF4-FFF2-40B4-BE49-F238E27FC236}">
              <a16:creationId xmlns="" xmlns:a16="http://schemas.microsoft.com/office/drawing/2014/main" id="{6EF14741-F548-479A-B01B-D902DFD3EF60}"/>
            </a:ext>
          </a:extLst>
        </xdr:cNvPr>
        <xdr:cNvSpPr txBox="1">
          <a:spLocks noChangeArrowheads="1"/>
        </xdr:cNvSpPr>
      </xdr:nvSpPr>
      <xdr:spPr bwMode="auto">
        <a:xfrm>
          <a:off x="3381375" y="2981325"/>
          <a:ext cx="76200" cy="1197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85725</xdr:colOff>
      <xdr:row>15</xdr:row>
      <xdr:rowOff>253558</xdr:rowOff>
    </xdr:to>
    <xdr:sp macro="" textlink="">
      <xdr:nvSpPr>
        <xdr:cNvPr id="1565" name="Text Box 11">
          <a:extLst>
            <a:ext uri="{FF2B5EF4-FFF2-40B4-BE49-F238E27FC236}">
              <a16:creationId xmlns="" xmlns:a16="http://schemas.microsoft.com/office/drawing/2014/main" id="{C89F647D-4395-4058-9B04-E3CC2F0A4A3E}"/>
            </a:ext>
          </a:extLst>
        </xdr:cNvPr>
        <xdr:cNvSpPr txBox="1">
          <a:spLocks noChangeArrowheads="1"/>
        </xdr:cNvSpPr>
      </xdr:nvSpPr>
      <xdr:spPr bwMode="auto">
        <a:xfrm>
          <a:off x="3381375" y="2981325"/>
          <a:ext cx="76200" cy="1197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9525</xdr:colOff>
      <xdr:row>12</xdr:row>
      <xdr:rowOff>0</xdr:rowOff>
    </xdr:from>
    <xdr:to>
      <xdr:col>2</xdr:col>
      <xdr:colOff>85725</xdr:colOff>
      <xdr:row>15</xdr:row>
      <xdr:rowOff>253558</xdr:rowOff>
    </xdr:to>
    <xdr:sp macro="" textlink="">
      <xdr:nvSpPr>
        <xdr:cNvPr id="1566" name="Text Box 12">
          <a:extLst>
            <a:ext uri="{FF2B5EF4-FFF2-40B4-BE49-F238E27FC236}">
              <a16:creationId xmlns="" xmlns:a16="http://schemas.microsoft.com/office/drawing/2014/main" id="{0F0255CC-B184-45BC-94C0-CBE5C151AB2A}"/>
            </a:ext>
          </a:extLst>
        </xdr:cNvPr>
        <xdr:cNvSpPr txBox="1">
          <a:spLocks noChangeArrowheads="1"/>
        </xdr:cNvSpPr>
      </xdr:nvSpPr>
      <xdr:spPr bwMode="auto">
        <a:xfrm>
          <a:off x="3381375" y="2981325"/>
          <a:ext cx="76200" cy="11978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90427f2525f9b049/N&#259;m%202021/3.%20Dau%20tu/10.%20Hoan%20thi&#7879;n%20l&#7841;i%20&#273;&#7847;u%20t&#432;%20c&#244;ng%20trung%20h&#7841;n%20NS%20Huy&#7879;n%202021-2025/SUA%20-%20L3/71NQH&#272;ND%20V&#7873;%20k&#7871;%20ho&#7841;ch%20&#273;&#7847;u%20t&#432;%20c&#244;ng%20v&#7889;n%20c&#226;n%20&#273;&#7889;i%20ng&#226;n%20s&#225;ch%20c&#7845;p%20huy&#7879;n%20giai%20&#273;o&#7841;n%202021-2025%2022.12.21%20&#273;&#237;nh%20k&#232;m%20ct%20copy.xlsx?6B50ED84" TargetMode="External"/><Relationship Id="rId1" Type="http://schemas.openxmlformats.org/officeDocument/2006/relationships/externalLinkPath" Target="file:///\\6B50ED84\71NQH&#272;ND%20V&#7873;%20k&#7871;%20ho&#7841;ch%20&#273;&#7847;u%20t&#432;%20c&#244;ng%20v&#7889;n%20c&#226;n%20&#273;&#7889;i%20ng&#226;n%20s&#225;ch%20c&#7845;p%20huy&#7879;n%20giai%20&#273;o&#7841;n%202021-2025%2022.12.21%20&#273;&#237;nh%20k&#232;m%20ct%20copy.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NQ-PH&#7908;%20L&#7908;C%203%5eLJ%2004%20DANH%20M&#7908;C%20C&#193;C%20D&#7908;%20&#193;N%20B&#7892;%20SUNG.xlsx?12C71181" TargetMode="External"/><Relationship Id="rId1" Type="http://schemas.openxmlformats.org/officeDocument/2006/relationships/externalLinkPath" Target="file:///\\12C71181\NQ-PH&#7908;%20L&#7908;C%203%5eLJ%2004%20DANH%20M&#7908;C%20C&#193;C%20D&#7908;%20&#193;N%20B&#7892;%20SU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1 (3)"/>
      <sheetName val="PL1"/>
      <sheetName val="PL2"/>
      <sheetName val="Phụ lục 1"/>
      <sheetName val="Phụ lục 2"/>
      <sheetName val="Sheet1"/>
    </sheetNames>
    <sheetDataSet>
      <sheetData sheetId="0"/>
      <sheetData sheetId="1"/>
      <sheetData sheetId="2"/>
      <sheetData sheetId="3"/>
      <sheetData sheetId="4">
        <row r="14">
          <cell r="B14" t="str">
            <v>Lắp đặt hệ thống điện trang trí trên tuyến đường Gia Lách đi Khu di tích Đại thi hào Nguyễn Du (đoạn từ xã Xuân Giang đến xã Tiên Điền)</v>
          </cell>
          <cell r="C14" t="str">
            <v>Xã Xuân Giang, thị trấn Tiên Điền</v>
          </cell>
          <cell r="D14" t="str">
            <v>Hạ tầng kỹ thuật cấp 4</v>
          </cell>
          <cell r="E14" t="str">
            <v>2019-2020</v>
          </cell>
          <cell r="F14" t="str">
            <v>4499/QĐ-UBND ngày 23/10/2019 của UBND huyện</v>
          </cell>
          <cell r="G14" t="str">
            <v>Ủy ban nhân dân huyện</v>
          </cell>
          <cell r="H14">
            <v>9305</v>
          </cell>
          <cell r="I14">
            <v>0</v>
          </cell>
          <cell r="J14">
            <v>9305</v>
          </cell>
          <cell r="K14">
            <v>0</v>
          </cell>
          <cell r="L14">
            <v>8000</v>
          </cell>
          <cell r="M14">
            <v>8000</v>
          </cell>
          <cell r="N14">
            <v>863</v>
          </cell>
          <cell r="O14">
            <v>863</v>
          </cell>
          <cell r="P14">
            <v>0</v>
          </cell>
        </row>
        <row r="15">
          <cell r="B15" t="str">
            <v xml:space="preserve">Nâng cấp tuyến đường giao thông từ ĐT547 đi Hồ chứa nước Xuân Hoa, xã Cổ Đạm, huyện Nghi Xuân. </v>
          </cell>
          <cell r="C15" t="str">
            <v>Xã Cổ Đạm</v>
          </cell>
          <cell r="D15" t="str">
            <v>Giao thông cấp 4</v>
          </cell>
          <cell r="E15" t="str">
            <v>2019-2020</v>
          </cell>
          <cell r="F15" t="str">
            <v>4229/QĐ-UBND ngày 03/10/2019 của UBND huyện</v>
          </cell>
          <cell r="G15" t="str">
            <v>Ủy ban nhân dân huyện</v>
          </cell>
          <cell r="H15">
            <v>10394.691000000001</v>
          </cell>
          <cell r="I15">
            <v>0</v>
          </cell>
          <cell r="J15">
            <v>10394.691000000001</v>
          </cell>
          <cell r="K15">
            <v>0</v>
          </cell>
          <cell r="L15">
            <v>9000</v>
          </cell>
          <cell r="M15">
            <v>9000</v>
          </cell>
          <cell r="N15">
            <v>1288</v>
          </cell>
          <cell r="O15">
            <v>1288</v>
          </cell>
          <cell r="P15">
            <v>0</v>
          </cell>
        </row>
        <row r="16">
          <cell r="B16" t="str">
            <v>Nhà học 02 tầng 8 phòng và các hạng mục phụ trợ Trường mầm non Xuân An (Phân hiệu 1)</v>
          </cell>
          <cell r="C16" t="str">
            <v>Thị trấn Xuân An</v>
          </cell>
          <cell r="D16" t="str">
            <v>Dân dụng cấp 4</v>
          </cell>
          <cell r="E16" t="str">
            <v>2019-2020</v>
          </cell>
          <cell r="F16" t="str">
            <v>4572/QĐ-UBND ngày 25/10/2019 của UBND huyện</v>
          </cell>
          <cell r="G16" t="str">
            <v>Ủy ban nhân dân huyện</v>
          </cell>
          <cell r="H16">
            <v>10372.934999999999</v>
          </cell>
          <cell r="I16">
            <v>0</v>
          </cell>
          <cell r="J16">
            <v>10372.934999999999</v>
          </cell>
          <cell r="K16">
            <v>0</v>
          </cell>
          <cell r="L16">
            <v>8500</v>
          </cell>
          <cell r="M16">
            <v>8500</v>
          </cell>
          <cell r="N16">
            <v>1234</v>
          </cell>
          <cell r="O16">
            <v>1234</v>
          </cell>
          <cell r="P16">
            <v>0</v>
          </cell>
        </row>
        <row r="17">
          <cell r="B17" t="str">
            <v>Nhà học 2 tầng 8 phòng, nhà bếp + ăn và các hạng mục phụ trợ Trường mầm non Xuân An (Phân hiệu 2)</v>
          </cell>
          <cell r="C17" t="str">
            <v>Thị trấn Xuân An</v>
          </cell>
          <cell r="D17" t="str">
            <v>Dân dụng cấp 4</v>
          </cell>
          <cell r="E17" t="str">
            <v>2019-2020</v>
          </cell>
          <cell r="F17" t="str">
            <v>4580/QĐ-UBND ngày 25/10/2019 của UBND huyện</v>
          </cell>
          <cell r="G17" t="str">
            <v>Ủy ban nhân dân huyện</v>
          </cell>
          <cell r="H17">
            <v>11287.361999999999</v>
          </cell>
          <cell r="I17">
            <v>0</v>
          </cell>
          <cell r="J17">
            <v>11287.361999999999</v>
          </cell>
          <cell r="K17">
            <v>0</v>
          </cell>
          <cell r="L17">
            <v>9000</v>
          </cell>
          <cell r="M17">
            <v>9000</v>
          </cell>
          <cell r="N17">
            <v>1468</v>
          </cell>
          <cell r="O17">
            <v>1468</v>
          </cell>
          <cell r="P17">
            <v>0</v>
          </cell>
        </row>
        <row r="18">
          <cell r="B18" t="str">
            <v>Nâng cấp tuyến đường giao thông liên xã Giang - Tiên, huyện Nghi Xuân (ĐH.26)</v>
          </cell>
          <cell r="C18" t="str">
            <v>Xã Xuân Giang, thị trấn Tiên Điền</v>
          </cell>
          <cell r="D18" t="str">
            <v>Giao thông cấp 4</v>
          </cell>
          <cell r="E18" t="str">
            <v>2018-2020</v>
          </cell>
          <cell r="F18" t="str">
            <v>3605/QĐ-UBND ngày 25/12/2020 của UBND huyện</v>
          </cell>
          <cell r="G18" t="str">
            <v>Ủy ban nhân dân huyện</v>
          </cell>
          <cell r="H18">
            <v>11708</v>
          </cell>
          <cell r="I18">
            <v>2500</v>
          </cell>
          <cell r="J18">
            <v>9208</v>
          </cell>
          <cell r="K18">
            <v>0</v>
          </cell>
          <cell r="L18">
            <v>8500</v>
          </cell>
          <cell r="M18">
            <v>8500</v>
          </cell>
          <cell r="N18">
            <v>2858</v>
          </cell>
          <cell r="O18">
            <v>2858</v>
          </cell>
          <cell r="P18">
            <v>0</v>
          </cell>
        </row>
        <row r="19">
          <cell r="B19" t="str">
            <v>Nhà làm việc, nhà giao dịch 01 cửa và các hạng mục phụ trợ Trụ sở UBND xã Xuân Hồng</v>
          </cell>
          <cell r="C19" t="str">
            <v>Xã Xuân Hồng</v>
          </cell>
          <cell r="D19" t="str">
            <v>Dân dụng cấp 4</v>
          </cell>
          <cell r="E19" t="str">
            <v>2020</v>
          </cell>
          <cell r="F19" t="str">
            <v>3766/QĐ-UBND ngày 27/8/2019 của UBND huyện</v>
          </cell>
          <cell r="G19" t="str">
            <v>Ủy ban nhân dân huyện</v>
          </cell>
          <cell r="H19">
            <v>10643</v>
          </cell>
          <cell r="I19">
            <v>0</v>
          </cell>
          <cell r="J19">
            <v>10643</v>
          </cell>
          <cell r="K19">
            <v>0</v>
          </cell>
          <cell r="L19">
            <v>6000</v>
          </cell>
          <cell r="M19">
            <v>6000</v>
          </cell>
          <cell r="N19">
            <v>3376</v>
          </cell>
          <cell r="O19">
            <v>3376</v>
          </cell>
          <cell r="P19">
            <v>0</v>
          </cell>
        </row>
        <row r="20">
          <cell r="B20" t="str">
            <v xml:space="preserve">Hệ thống điện chiếu sáng trên tuyến đường Gia Lách đi Khu di tích Đại thi hào Nguyễn Du </v>
          </cell>
          <cell r="C20" t="str">
            <v>Xã Xuân Giang; các TT: Tiên Điền; Xuân An</v>
          </cell>
          <cell r="D20" t="str">
            <v>Hạ tầng kỹ thuật cấp 4</v>
          </cell>
          <cell r="E20" t="str">
            <v>2020</v>
          </cell>
          <cell r="F20" t="str">
            <v>4383/QĐ-UBND ngày 17/10/2019 của UBND huyện</v>
          </cell>
          <cell r="G20" t="str">
            <v>Ủy ban nhân dân huyện</v>
          </cell>
          <cell r="H20">
            <v>29319.806</v>
          </cell>
          <cell r="I20">
            <v>5000</v>
          </cell>
          <cell r="J20">
            <v>24319.806</v>
          </cell>
          <cell r="K20">
            <v>0</v>
          </cell>
          <cell r="L20">
            <v>22426.75</v>
          </cell>
          <cell r="M20">
            <v>17426.75</v>
          </cell>
          <cell r="N20">
            <v>4993</v>
          </cell>
          <cell r="O20">
            <v>4993</v>
          </cell>
          <cell r="P20">
            <v>0</v>
          </cell>
        </row>
        <row r="21">
          <cell r="B21" t="str">
            <v>Nhà học 3 tầng và các hạng mục phụ trợ Trường THPT Nguyễn Công Trứ</v>
          </cell>
          <cell r="C21" t="str">
            <v>Thị trấn Xuân An</v>
          </cell>
          <cell r="D21" t="str">
            <v>Dân dụng cấp 4</v>
          </cell>
          <cell r="E21" t="str">
            <v>2020</v>
          </cell>
          <cell r="F21" t="str">
            <v>985/QĐ-UBND ngày 18/5/2020 của UBND huyện</v>
          </cell>
          <cell r="G21" t="str">
            <v>Ủy ban nhân dân huyện</v>
          </cell>
          <cell r="H21">
            <v>6015.0684000000001</v>
          </cell>
          <cell r="I21">
            <v>0</v>
          </cell>
          <cell r="J21">
            <v>6015.0684000000001</v>
          </cell>
          <cell r="K21">
            <v>0</v>
          </cell>
          <cell r="L21">
            <v>5000</v>
          </cell>
          <cell r="M21">
            <v>5000</v>
          </cell>
          <cell r="N21">
            <v>431</v>
          </cell>
          <cell r="O21">
            <v>431</v>
          </cell>
          <cell r="P21">
            <v>0</v>
          </cell>
        </row>
        <row r="22">
          <cell r="B22" t="str">
            <v>Nhà đa năng Trường THPT Nguyễn Du</v>
          </cell>
          <cell r="C22" t="str">
            <v>Thị trấn Tiên Điền</v>
          </cell>
          <cell r="D22" t="str">
            <v>Dân dụng cấp 4</v>
          </cell>
          <cell r="E22" t="str">
            <v>2020</v>
          </cell>
          <cell r="F22" t="str">
            <v>792/QĐ-UBND ngày 23/4/2020 của UBND huyện</v>
          </cell>
          <cell r="G22" t="str">
            <v>Ủy ban nhân dân huyện</v>
          </cell>
          <cell r="H22">
            <v>6608.9780000000001</v>
          </cell>
          <cell r="I22">
            <v>0</v>
          </cell>
          <cell r="J22">
            <v>6608.9780000000001</v>
          </cell>
          <cell r="K22">
            <v>0</v>
          </cell>
          <cell r="L22">
            <v>5000</v>
          </cell>
          <cell r="M22">
            <v>5000</v>
          </cell>
          <cell r="N22">
            <v>1455</v>
          </cell>
          <cell r="O22">
            <v>1455</v>
          </cell>
          <cell r="P22">
            <v>0</v>
          </cell>
        </row>
        <row r="23">
          <cell r="B23" t="str">
            <v>Nâng cấp tuyến đường liên xã Xuân Hải đi Xuân Phổ (đoạn từ cảng Xuân Hải đi Cảnh sát biển)</v>
          </cell>
          <cell r="C23" t="str">
            <v>Các xã: Xuân Hải, Xuân Phổ</v>
          </cell>
          <cell r="D23" t="str">
            <v>Giao thông cấp 4</v>
          </cell>
          <cell r="E23" t="str">
            <v>2020</v>
          </cell>
          <cell r="F23" t="str">
            <v>970/QĐ-UBND ngày 12/5/2020 của UBND huyện</v>
          </cell>
          <cell r="G23" t="str">
            <v>Ủy ban nhân dân huyện</v>
          </cell>
          <cell r="H23">
            <v>4139.3530000000001</v>
          </cell>
          <cell r="I23">
            <v>0</v>
          </cell>
          <cell r="J23">
            <v>4139.3530000000001</v>
          </cell>
          <cell r="K23">
            <v>0</v>
          </cell>
          <cell r="L23">
            <v>3500</v>
          </cell>
          <cell r="M23">
            <v>3500</v>
          </cell>
          <cell r="N23">
            <v>639</v>
          </cell>
          <cell r="O23">
            <v>639</v>
          </cell>
          <cell r="P23">
            <v>0</v>
          </cell>
        </row>
        <row r="24">
          <cell r="B24" t="str">
            <v>Hệ thống Camera an ninh trên địa bàn huyện Nghi Xuân</v>
          </cell>
          <cell r="C24" t="str">
            <v>17 điểm trên địa bàn huyện</v>
          </cell>
          <cell r="D24" t="str">
            <v>Hạ tầng kỹ thuật cấp 4</v>
          </cell>
          <cell r="E24" t="str">
            <v>2020</v>
          </cell>
          <cell r="F24" t="str">
            <v>Nghị quyết số 82/NQ-HĐND ngày 17/4/2020</v>
          </cell>
          <cell r="G24" t="str">
            <v>Ủy ban nhân dân huyện</v>
          </cell>
          <cell r="H24">
            <v>13500</v>
          </cell>
          <cell r="I24">
            <v>0</v>
          </cell>
          <cell r="J24">
            <v>13500</v>
          </cell>
          <cell r="K24">
            <v>0</v>
          </cell>
          <cell r="L24">
            <v>8500</v>
          </cell>
          <cell r="M24">
            <v>8500</v>
          </cell>
          <cell r="N24">
            <v>4837</v>
          </cell>
          <cell r="O24">
            <v>4837</v>
          </cell>
          <cell r="P24">
            <v>0</v>
          </cell>
        </row>
        <row r="25">
          <cell r="B25" t="str">
            <v>Nhà phụ trợ, gara 2 tầng; cải tạo nhà bếp Huyện ủy Nghi Xuân</v>
          </cell>
          <cell r="C25" t="str">
            <v>TT Tiên Điền</v>
          </cell>
          <cell r="D25" t="str">
            <v>Dân dụng cấp 4</v>
          </cell>
          <cell r="E25" t="str">
            <v>2020</v>
          </cell>
          <cell r="F25" t="str">
            <v>1151/QĐ-UBND ngày 02/6/2020</v>
          </cell>
          <cell r="G25" t="str">
            <v>Ủy ban nhân dân huyện</v>
          </cell>
          <cell r="H25">
            <v>4243.0550000000003</v>
          </cell>
          <cell r="I25">
            <v>0</v>
          </cell>
          <cell r="J25">
            <v>4243.0550000000003</v>
          </cell>
          <cell r="K25">
            <v>0</v>
          </cell>
          <cell r="L25">
            <v>4000</v>
          </cell>
          <cell r="M25">
            <v>4000</v>
          </cell>
          <cell r="N25">
            <v>42</v>
          </cell>
          <cell r="O25">
            <v>42</v>
          </cell>
          <cell r="P25">
            <v>0</v>
          </cell>
        </row>
        <row r="26">
          <cell r="B26" t="str">
            <v>Nhà đa năng Trường THCS Nguyễn Trãi</v>
          </cell>
          <cell r="C26" t="str">
            <v>TT Tiên Điền</v>
          </cell>
          <cell r="D26" t="str">
            <v>Dân dụng cấp 4</v>
          </cell>
          <cell r="E26" t="str">
            <v>2020</v>
          </cell>
          <cell r="F26" t="str">
            <v>1133/QĐ-UBND ngày 27/5/2020</v>
          </cell>
          <cell r="G26" t="str">
            <v>Ủy ban nhân dân huyện</v>
          </cell>
          <cell r="H26">
            <v>3815.4879999999998</v>
          </cell>
          <cell r="I26">
            <v>0</v>
          </cell>
          <cell r="J26">
            <v>3815.4879999999998</v>
          </cell>
          <cell r="K26">
            <v>0</v>
          </cell>
          <cell r="L26">
            <v>3500</v>
          </cell>
          <cell r="M26">
            <v>3500</v>
          </cell>
          <cell r="N26">
            <v>164</v>
          </cell>
          <cell r="O26">
            <v>164</v>
          </cell>
          <cell r="P26">
            <v>0</v>
          </cell>
        </row>
        <row r="27">
          <cell r="B27" t="str">
            <v>Tuyến đường huyện lộ 01 (Giang - Viên - Lĩnh), huyện Nghi Xuân (giai đoạn 1)</v>
          </cell>
          <cell r="C27" t="str">
            <v>Xuân Giang, Xuân Viên</v>
          </cell>
          <cell r="D27">
            <v>0</v>
          </cell>
          <cell r="E27">
            <v>0</v>
          </cell>
          <cell r="F27" t="str">
            <v>1508/QĐ-UBND ngày 03/4/2018 của UBND huyện</v>
          </cell>
          <cell r="G27" t="str">
            <v>UBND huyện</v>
          </cell>
          <cell r="H27">
            <v>8854</v>
          </cell>
          <cell r="I27">
            <v>0</v>
          </cell>
          <cell r="J27">
            <v>8854</v>
          </cell>
          <cell r="K27">
            <v>0</v>
          </cell>
          <cell r="L27">
            <v>8000</v>
          </cell>
          <cell r="M27">
            <v>8000</v>
          </cell>
          <cell r="N27">
            <v>195</v>
          </cell>
          <cell r="O27">
            <v>195</v>
          </cell>
          <cell r="P27">
            <v>0</v>
          </cell>
        </row>
        <row r="28">
          <cell r="B28" t="str">
            <v>Chỉnh trang hệ thống điện 0,4kVA đường Gia Lách – Nguyễn Du huyện Nghi Xuân</v>
          </cell>
          <cell r="C28" t="str">
            <v>Xuân An, Xuân Giang, Tiên Điền</v>
          </cell>
          <cell r="D28">
            <v>0</v>
          </cell>
          <cell r="E28">
            <v>0</v>
          </cell>
          <cell r="F28" t="str">
            <v>4618/QĐ-UBND ngày 31/10/2019 của UBND huyện</v>
          </cell>
          <cell r="G28" t="str">
            <v>UBND huyện</v>
          </cell>
          <cell r="H28">
            <v>2231.3119999999999</v>
          </cell>
          <cell r="I28">
            <v>0</v>
          </cell>
          <cell r="J28">
            <v>2231.3119999999999</v>
          </cell>
          <cell r="K28">
            <v>0</v>
          </cell>
          <cell r="L28">
            <v>2000</v>
          </cell>
          <cell r="M28">
            <v>2000</v>
          </cell>
          <cell r="N28">
            <v>164</v>
          </cell>
          <cell r="O28">
            <v>164</v>
          </cell>
          <cell r="P28">
            <v>0</v>
          </cell>
        </row>
        <row r="29">
          <cell r="B29" t="str">
            <v>Chỉnh trang cây xanh đô thị, hạ tầng kỹ thuật trên một số tuyến đường trục chính huyện Nghi Xuân</v>
          </cell>
          <cell r="C29" t="str">
            <v>huyện Nghi Xuân</v>
          </cell>
          <cell r="D29" t="str">
            <v>Hạ tầng kỹ thuật</v>
          </cell>
          <cell r="E29" t="str">
            <v>2019-2020</v>
          </cell>
          <cell r="F29" t="str">
            <v>1204/QĐ-UBND ngày 09/6/2020</v>
          </cell>
          <cell r="G29" t="str">
            <v>UBND huyện</v>
          </cell>
          <cell r="H29">
            <v>4300</v>
          </cell>
          <cell r="I29">
            <v>0</v>
          </cell>
          <cell r="J29">
            <v>4300</v>
          </cell>
          <cell r="K29">
            <v>0</v>
          </cell>
          <cell r="L29">
            <v>2100</v>
          </cell>
          <cell r="M29">
            <v>2100</v>
          </cell>
          <cell r="N29">
            <v>2300</v>
          </cell>
          <cell r="O29">
            <v>2300</v>
          </cell>
          <cell r="P29">
            <v>0</v>
          </cell>
        </row>
        <row r="30">
          <cell r="B30" t="str">
            <v>CÔNG TRÌNH CHUỂN TIẾP SANG GIAI ĐOẠN 2021-2025</v>
          </cell>
          <cell r="C30">
            <v>0</v>
          </cell>
          <cell r="D30">
            <v>0</v>
          </cell>
          <cell r="E30">
            <v>0</v>
          </cell>
          <cell r="F30">
            <v>0</v>
          </cell>
          <cell r="G30">
            <v>0</v>
          </cell>
          <cell r="H30">
            <v>89287.902999999991</v>
          </cell>
          <cell r="I30">
            <v>0</v>
          </cell>
          <cell r="J30">
            <v>87787.902999999991</v>
          </cell>
          <cell r="K30">
            <v>1500</v>
          </cell>
          <cell r="L30">
            <v>48150</v>
          </cell>
          <cell r="M30">
            <v>46650</v>
          </cell>
          <cell r="N30">
            <v>40430.400000000001</v>
          </cell>
          <cell r="O30">
            <v>40430.400000000001</v>
          </cell>
          <cell r="P30">
            <v>0</v>
          </cell>
        </row>
        <row r="31">
          <cell r="B31" t="str">
            <v>Nhà làm việc 02 tầng Trung tâm bồi dưỡng chính trị huyện Nghi Xuân</v>
          </cell>
          <cell r="C31" t="str">
            <v>Thị trấn Tiên Điền</v>
          </cell>
          <cell r="D31" t="str">
            <v>Dân dụng cấp 3</v>
          </cell>
          <cell r="E31" t="str">
            <v>2020-2021</v>
          </cell>
          <cell r="F31" t="str">
            <v xml:space="preserve">1334/QĐ-UBND ngày 29/6/2020 </v>
          </cell>
          <cell r="G31" t="str">
            <v>UBND huyện</v>
          </cell>
          <cell r="H31">
            <v>4980.9030000000002</v>
          </cell>
          <cell r="I31">
            <v>0</v>
          </cell>
          <cell r="J31">
            <v>4980.9030000000002</v>
          </cell>
          <cell r="K31">
            <v>0</v>
          </cell>
          <cell r="L31">
            <v>3000</v>
          </cell>
          <cell r="M31">
            <v>3000</v>
          </cell>
          <cell r="N31">
            <v>1789</v>
          </cell>
          <cell r="O31">
            <v>1789</v>
          </cell>
          <cell r="P31">
            <v>0</v>
          </cell>
        </row>
        <row r="32">
          <cell r="B32" t="str">
            <v>Nhà học 02 tầng 06 phòng Trường mầm non Xuân Thành, huyện Nghi Xuân</v>
          </cell>
          <cell r="C32" t="str">
            <v>Xã Xuân Thành</v>
          </cell>
          <cell r="D32" t="str">
            <v>Dân dụng
 cấp 4</v>
          </cell>
          <cell r="E32" t="str">
            <v>2020-2021</v>
          </cell>
          <cell r="F32" t="str">
            <v xml:space="preserve">1482/QĐ-UBND ngày 14/7/2020 </v>
          </cell>
          <cell r="G32" t="str">
            <v>UBND huyện</v>
          </cell>
          <cell r="H32">
            <v>7136</v>
          </cell>
          <cell r="I32">
            <v>0</v>
          </cell>
          <cell r="J32">
            <v>7136</v>
          </cell>
          <cell r="K32">
            <v>0</v>
          </cell>
          <cell r="L32">
            <v>5000</v>
          </cell>
          <cell r="M32">
            <v>5000</v>
          </cell>
          <cell r="N32">
            <v>1795</v>
          </cell>
          <cell r="O32">
            <v>1795</v>
          </cell>
          <cell r="P32">
            <v>0</v>
          </cell>
        </row>
        <row r="33">
          <cell r="B33" t="str">
            <v>Trụ sở làm việc Đảng ủy, HĐND, UBMTTQ thị trấn Xuân An</v>
          </cell>
          <cell r="C33" t="str">
            <v>Thị trấn Xuân An</v>
          </cell>
          <cell r="D33" t="str">
            <v>Dân dụng 
cấp 3</v>
          </cell>
          <cell r="E33" t="str">
            <v>2020-2021</v>
          </cell>
          <cell r="F33" t="str">
            <v>4233/QĐ-UBND ngày 03/10/2019 của UBND huyện</v>
          </cell>
          <cell r="G33" t="str">
            <v>UBND huyện</v>
          </cell>
          <cell r="H33">
            <v>39313</v>
          </cell>
          <cell r="I33">
            <v>0</v>
          </cell>
          <cell r="J33">
            <v>39313</v>
          </cell>
          <cell r="K33">
            <v>0</v>
          </cell>
          <cell r="L33">
            <v>14000</v>
          </cell>
          <cell r="M33">
            <v>14000</v>
          </cell>
          <cell r="N33">
            <v>25313</v>
          </cell>
          <cell r="O33">
            <v>25313</v>
          </cell>
          <cell r="P33">
            <v>0</v>
          </cell>
        </row>
        <row r="34">
          <cell r="B34" t="str">
            <v>Hệ thống tiêu thoát nước thị trấn Tiên Điền đoạn từ tuyến đường LX1  đến cống tiêu số 7  đê hữu sông Lam</v>
          </cell>
          <cell r="C34" t="str">
            <v>Thị trấn Tiên Điền</v>
          </cell>
          <cell r="D34" t="str">
            <v>Thuỷ lợi  cấp 4</v>
          </cell>
          <cell r="E34" t="str">
            <v>2020-2021</v>
          </cell>
          <cell r="F34" t="str">
            <v>5401/QĐ-UBND ngày 31/12/2019 của UBND huyện</v>
          </cell>
          <cell r="G34" t="str">
            <v>UBND huyện</v>
          </cell>
          <cell r="H34">
            <v>11835</v>
          </cell>
          <cell r="I34">
            <v>0</v>
          </cell>
          <cell r="J34">
            <v>11835</v>
          </cell>
          <cell r="K34">
            <v>0</v>
          </cell>
          <cell r="L34">
            <v>8000</v>
          </cell>
          <cell r="M34">
            <v>8000</v>
          </cell>
          <cell r="N34">
            <v>3500</v>
          </cell>
          <cell r="O34">
            <v>3500</v>
          </cell>
          <cell r="P34">
            <v>0</v>
          </cell>
        </row>
        <row r="35">
          <cell r="B35" t="str">
            <v>Hệ thống tiêu thoát nước xã Xuân Giang đoạn cầu sắt đến đền Huyện</v>
          </cell>
          <cell r="C35" t="str">
            <v>Xã Xuân Giang</v>
          </cell>
          <cell r="D35" t="str">
            <v>Thuỷ lợi  cấp 4</v>
          </cell>
          <cell r="E35" t="str">
            <v>2020-2021</v>
          </cell>
          <cell r="F35" t="str">
            <v>1222/QĐ-UBND  ngày 11/6/2020  của UBND huyện</v>
          </cell>
          <cell r="G35" t="str">
            <v>UBND huyện</v>
          </cell>
          <cell r="H35">
            <v>5550</v>
          </cell>
          <cell r="I35">
            <v>0</v>
          </cell>
          <cell r="J35">
            <v>5550</v>
          </cell>
          <cell r="K35">
            <v>0</v>
          </cell>
          <cell r="L35">
            <v>4000</v>
          </cell>
          <cell r="M35">
            <v>4000</v>
          </cell>
          <cell r="N35">
            <v>1550</v>
          </cell>
          <cell r="O35">
            <v>1550</v>
          </cell>
          <cell r="P35">
            <v>0</v>
          </cell>
        </row>
        <row r="36">
          <cell r="B36" t="str">
            <v>Cải tạo, nâng cấp nghĩa trang Liệt sỹ huyện Nghi Xuân</v>
          </cell>
          <cell r="C36" t="str">
            <v>Xã Xuân Mỹ</v>
          </cell>
          <cell r="D36" t="str">
            <v>Dân dụng 
cấp 3</v>
          </cell>
          <cell r="E36" t="str">
            <v>2020-2021</v>
          </cell>
          <cell r="F36" t="str">
            <v>Nghị quyết số 82/NQ-HĐND ngày 17/4/2020</v>
          </cell>
          <cell r="G36" t="str">
            <v>UBND huyện</v>
          </cell>
          <cell r="H36">
            <v>11788</v>
          </cell>
          <cell r="I36">
            <v>0</v>
          </cell>
          <cell r="J36">
            <v>10288</v>
          </cell>
          <cell r="K36">
            <v>1500</v>
          </cell>
          <cell r="L36">
            <v>9500</v>
          </cell>
          <cell r="M36">
            <v>8000</v>
          </cell>
          <cell r="N36">
            <v>2572.4</v>
          </cell>
          <cell r="O36">
            <v>2572.4</v>
          </cell>
          <cell r="P36">
            <v>0</v>
          </cell>
        </row>
        <row r="37">
          <cell r="B37" t="str">
            <v>Cải tạo nhà 3 tầng Trụ sở Ủy ban nhân dân huyện Nghi Xuân và các hạng mục phụ trợ</v>
          </cell>
          <cell r="C37" t="str">
            <v>Thị trấn Tiên Điền</v>
          </cell>
          <cell r="D37" t="str">
            <v>Dân dụng 
cấp 3</v>
          </cell>
          <cell r="E37" t="str">
            <v>2020-2021</v>
          </cell>
          <cell r="F37" t="str">
            <v>1483/QĐ-UBND ngày 14/7/2020</v>
          </cell>
          <cell r="G37" t="str">
            <v>UBND huyện</v>
          </cell>
          <cell r="H37">
            <v>4335</v>
          </cell>
          <cell r="I37">
            <v>0</v>
          </cell>
          <cell r="J37">
            <v>4335</v>
          </cell>
          <cell r="K37">
            <v>0</v>
          </cell>
          <cell r="L37">
            <v>3000</v>
          </cell>
          <cell r="M37">
            <v>3000</v>
          </cell>
          <cell r="N37">
            <v>1211</v>
          </cell>
          <cell r="O37">
            <v>1211</v>
          </cell>
          <cell r="P37">
            <v>0</v>
          </cell>
        </row>
        <row r="38">
          <cell r="B38" t="str">
            <v>Trường bắn, thao trường huấn luyện quân sự huyện Nghi Xuân</v>
          </cell>
          <cell r="C38" t="str">
            <v>Xã Cổ Đạm</v>
          </cell>
          <cell r="D38" t="str">
            <v>Hạ tầng kỹ thuật cấp 4</v>
          </cell>
          <cell r="E38" t="str">
            <v>2020-2021</v>
          </cell>
          <cell r="F38" t="str">
            <v>4837/QĐ-UBND ngày 25/11/2019 của UBND huyện</v>
          </cell>
          <cell r="G38" t="str">
            <v>UBND huyện</v>
          </cell>
          <cell r="H38">
            <v>4350</v>
          </cell>
          <cell r="I38">
            <v>0</v>
          </cell>
          <cell r="J38">
            <v>4350</v>
          </cell>
          <cell r="K38">
            <v>0</v>
          </cell>
          <cell r="L38">
            <v>1650</v>
          </cell>
          <cell r="M38">
            <v>1650</v>
          </cell>
          <cell r="N38">
            <v>2700</v>
          </cell>
          <cell r="O38">
            <v>2700</v>
          </cell>
          <cell r="P38">
            <v>0</v>
          </cell>
        </row>
        <row r="39">
          <cell r="B39" t="str">
            <v>CAC CÔNG TRÌNH KHỞI CÔNG MỚI GIAI ĐOẠN 2021-2025</v>
          </cell>
          <cell r="C39">
            <v>0</v>
          </cell>
          <cell r="D39">
            <v>0</v>
          </cell>
          <cell r="E39">
            <v>0</v>
          </cell>
          <cell r="F39">
            <v>0</v>
          </cell>
          <cell r="G39">
            <v>0</v>
          </cell>
          <cell r="H39">
            <v>444266</v>
          </cell>
          <cell r="I39">
            <v>0</v>
          </cell>
          <cell r="J39">
            <v>444266</v>
          </cell>
          <cell r="K39">
            <v>0</v>
          </cell>
          <cell r="L39">
            <v>2850</v>
          </cell>
          <cell r="M39">
            <v>2850</v>
          </cell>
          <cell r="N39">
            <v>426658</v>
          </cell>
          <cell r="O39">
            <v>426658</v>
          </cell>
          <cell r="P39">
            <v>0</v>
          </cell>
        </row>
        <row r="40">
          <cell r="B40" t="str">
            <v xml:space="preserve">Công trình Giao thông </v>
          </cell>
          <cell r="C40">
            <v>0</v>
          </cell>
          <cell r="D40">
            <v>0</v>
          </cell>
          <cell r="E40">
            <v>0</v>
          </cell>
          <cell r="F40">
            <v>0</v>
          </cell>
          <cell r="G40">
            <v>0</v>
          </cell>
          <cell r="H40">
            <v>130190</v>
          </cell>
          <cell r="I40">
            <v>0</v>
          </cell>
          <cell r="J40">
            <v>130190</v>
          </cell>
          <cell r="K40">
            <v>0</v>
          </cell>
          <cell r="L40">
            <v>0</v>
          </cell>
          <cell r="M40">
            <v>0</v>
          </cell>
          <cell r="N40">
            <v>130190</v>
          </cell>
          <cell r="O40">
            <v>130190</v>
          </cell>
          <cell r="P40">
            <v>0</v>
          </cell>
        </row>
        <row r="41">
          <cell r="B41" t="str">
            <v>Đường nối QL1A tới bãi đậu xe và bãi đậu xe đền chợ Củi, xã Xuân Hồng</v>
          </cell>
          <cell r="C41" t="str">
            <v>Xã Xuân Hồng</v>
          </cell>
          <cell r="D41" t="str">
            <v>Xây dựng tuyến đường với tổng chiều dài khoảng 0,8km, B nền 12m, B mặt 9m, kết cấu mặt đường bằng BTXM và các công trình trên tuyến; Bải đậu xe rộng 10.000m2</v>
          </cell>
          <cell r="E41">
            <v>2021</v>
          </cell>
          <cell r="F41" t="str">
            <v>1681/QĐ-UBND ngày 10/5/2021 của UBND huyện</v>
          </cell>
          <cell r="G41" t="str">
            <v xml:space="preserve">UBND huyện </v>
          </cell>
          <cell r="H41">
            <v>14990</v>
          </cell>
          <cell r="I41">
            <v>0</v>
          </cell>
          <cell r="J41">
            <v>14990</v>
          </cell>
          <cell r="K41">
            <v>0</v>
          </cell>
          <cell r="L41">
            <v>0</v>
          </cell>
          <cell r="M41">
            <v>0</v>
          </cell>
          <cell r="N41">
            <v>14990</v>
          </cell>
          <cell r="O41">
            <v>14990</v>
          </cell>
          <cell r="P41">
            <v>0</v>
          </cell>
        </row>
        <row r="42">
          <cell r="B42" t="str">
            <v>Nâng cấp tuyến đường từ QL 1A vào mỏ đá B19 đến đền Thánh Mẩu xã Xuân Lam</v>
          </cell>
          <cell r="C42" t="str">
            <v>Xã Xuân Lam</v>
          </cell>
          <cell r="D42" t="str">
            <v>Xây dựng tuyến đường với tổng chiều dài 3 km, Bnền = 7m, Bmặt 5m, kết cấu mặt đường bằng BTXM và các công trình trên tuyến</v>
          </cell>
          <cell r="E42">
            <v>2022</v>
          </cell>
          <cell r="F42">
            <v>0</v>
          </cell>
          <cell r="G42" t="str">
            <v xml:space="preserve">UBND huyện </v>
          </cell>
          <cell r="H42">
            <v>15000</v>
          </cell>
          <cell r="I42">
            <v>0</v>
          </cell>
          <cell r="J42">
            <v>15000</v>
          </cell>
          <cell r="K42">
            <v>0</v>
          </cell>
          <cell r="L42">
            <v>0</v>
          </cell>
          <cell r="M42">
            <v>0</v>
          </cell>
          <cell r="N42">
            <v>15000</v>
          </cell>
          <cell r="O42">
            <v>15000</v>
          </cell>
          <cell r="P42">
            <v>0</v>
          </cell>
        </row>
        <row r="43">
          <cell r="B43" t="str">
            <v>Nâng cấp tuyến đường HL01 (Giang - Viên - Lĩnh) đoạn qua thôn An Tiên, xã Xuân Giang</v>
          </cell>
          <cell r="C43" t="str">
            <v>Xã Xuân Giang</v>
          </cell>
          <cell r="D43" t="str">
            <v>Nâng cấp tuyến đường với tổng chiều dài 1,0 Km, Bnền = 9m, Bmặt 5,5m, kết cấu mặt đường BTXM , đoạn qua khu dân cư bố trí mương thoát nước dọc</v>
          </cell>
          <cell r="E43">
            <v>2022</v>
          </cell>
          <cell r="F43">
            <v>0</v>
          </cell>
          <cell r="G43" t="str">
            <v xml:space="preserve">UBND huyện </v>
          </cell>
          <cell r="H43">
            <v>6500</v>
          </cell>
          <cell r="I43">
            <v>0</v>
          </cell>
          <cell r="J43">
            <v>6500</v>
          </cell>
          <cell r="K43">
            <v>0</v>
          </cell>
          <cell r="L43">
            <v>0</v>
          </cell>
          <cell r="M43">
            <v>0</v>
          </cell>
          <cell r="N43">
            <v>6500</v>
          </cell>
          <cell r="O43">
            <v>6500</v>
          </cell>
          <cell r="P43">
            <v>0</v>
          </cell>
        </row>
        <row r="44">
          <cell r="B44" t="str">
            <v>Nâng cấp, mở rộng tuyến đường TX02 xã Xuân Lĩnh</v>
          </cell>
          <cell r="C44" t="str">
            <v>Xã Xuân Lĩnh</v>
          </cell>
          <cell r="D44" t="str">
            <v>Nâng cấp, mở rộng tuyến đường dài khoảng 1,3Km, Bnền=9,0m; Bmặt=7,0m; Blềgc=2x1,0m=2,0m, kết cấu mặt đường bằng BTN và các công trình trên tuyến</v>
          </cell>
          <cell r="E44">
            <v>2022</v>
          </cell>
          <cell r="F44">
            <v>0</v>
          </cell>
          <cell r="G44" t="str">
            <v>UBND huyện</v>
          </cell>
          <cell r="H44">
            <v>9000</v>
          </cell>
          <cell r="I44">
            <v>0</v>
          </cell>
          <cell r="J44">
            <v>9000</v>
          </cell>
          <cell r="K44">
            <v>0</v>
          </cell>
          <cell r="L44">
            <v>0</v>
          </cell>
          <cell r="M44">
            <v>0</v>
          </cell>
          <cell r="N44">
            <v>9000</v>
          </cell>
          <cell r="O44">
            <v>9000</v>
          </cell>
          <cell r="P44">
            <v>0</v>
          </cell>
        </row>
        <row r="45">
          <cell r="B45" t="str">
            <v>Nâng cấp đường từ cầu Trộ Su đến sân Golf Xuân Thành</v>
          </cell>
          <cell r="C45" t="str">
            <v>Xã Xuân Thành</v>
          </cell>
          <cell r="D45">
            <v>0</v>
          </cell>
          <cell r="E45">
            <v>2022</v>
          </cell>
          <cell r="F45">
            <v>0</v>
          </cell>
          <cell r="G45" t="str">
            <v>UBND huyện</v>
          </cell>
          <cell r="H45">
            <v>7500</v>
          </cell>
          <cell r="I45">
            <v>0</v>
          </cell>
          <cell r="J45">
            <v>7500</v>
          </cell>
          <cell r="K45">
            <v>0</v>
          </cell>
          <cell r="L45">
            <v>0</v>
          </cell>
          <cell r="M45">
            <v>0</v>
          </cell>
          <cell r="N45">
            <v>7500</v>
          </cell>
          <cell r="O45">
            <v>7500</v>
          </cell>
          <cell r="P45">
            <v>0</v>
          </cell>
        </row>
        <row r="46">
          <cell r="B46" t="str">
            <v>Nâng cấp tuyến đường nối Thị trấn Tiên Điền - Đền thờ Nguyễn Công Trứ - xã Xuân Mỹ</v>
          </cell>
          <cell r="C46" t="str">
            <v>Xã Xuân Mỹ, Xuân Giang, TT Tiên Điền</v>
          </cell>
          <cell r="D46">
            <v>0</v>
          </cell>
          <cell r="E46">
            <v>2023</v>
          </cell>
          <cell r="F46">
            <v>0</v>
          </cell>
          <cell r="G46" t="str">
            <v>UBND huyện</v>
          </cell>
          <cell r="H46">
            <v>30000</v>
          </cell>
          <cell r="I46">
            <v>0</v>
          </cell>
          <cell r="J46">
            <v>30000</v>
          </cell>
          <cell r="K46">
            <v>0</v>
          </cell>
          <cell r="L46">
            <v>0</v>
          </cell>
          <cell r="M46">
            <v>0</v>
          </cell>
          <cell r="N46">
            <v>30000</v>
          </cell>
          <cell r="O46">
            <v>30000</v>
          </cell>
          <cell r="P46">
            <v>0</v>
          </cell>
        </row>
        <row r="47">
          <cell r="B47" t="str">
            <v>Đường tránh lũ Xuân Hồng đi Xuân Lĩnh (HL10)</v>
          </cell>
          <cell r="C47" t="str">
            <v>Xã Xuân Hồng, Xuân Lĩnh</v>
          </cell>
          <cell r="D47" t="str">
            <v>+ Quy mô mặt cắt ngang như sau: bề rộng nền đường Bnền=9,0m; bề rộng mặt đường Bmặt=5,5m; bề rộng vỉa hè Bvh=2x1,75m</v>
          </cell>
          <cell r="E47">
            <v>2024</v>
          </cell>
          <cell r="F47">
            <v>0</v>
          </cell>
          <cell r="G47" t="str">
            <v>UBND huyện</v>
          </cell>
          <cell r="H47">
            <v>40000</v>
          </cell>
          <cell r="I47">
            <v>0</v>
          </cell>
          <cell r="J47">
            <v>40000</v>
          </cell>
          <cell r="K47">
            <v>0</v>
          </cell>
          <cell r="L47">
            <v>0</v>
          </cell>
          <cell r="M47">
            <v>0</v>
          </cell>
          <cell r="N47">
            <v>40000</v>
          </cell>
          <cell r="O47">
            <v>40000</v>
          </cell>
          <cell r="P47">
            <v>0</v>
          </cell>
        </row>
        <row r="48">
          <cell r="B48" t="str">
            <v>Cầu Trúc Bè, xã Xuân Lĩnh</v>
          </cell>
          <cell r="C48" t="str">
            <v>Xã Xuân Lĩnh</v>
          </cell>
          <cell r="D48" t="str">
            <v>Cấp III</v>
          </cell>
          <cell r="E48">
            <v>2025</v>
          </cell>
          <cell r="F48">
            <v>0</v>
          </cell>
          <cell r="G48" t="str">
            <v>UBND huyện</v>
          </cell>
          <cell r="H48">
            <v>7200</v>
          </cell>
          <cell r="I48">
            <v>0</v>
          </cell>
          <cell r="J48">
            <v>7200</v>
          </cell>
          <cell r="K48">
            <v>0</v>
          </cell>
          <cell r="L48">
            <v>0</v>
          </cell>
          <cell r="M48">
            <v>0</v>
          </cell>
          <cell r="N48">
            <v>7200</v>
          </cell>
          <cell r="O48">
            <v>7200</v>
          </cell>
          <cell r="P48">
            <v>0</v>
          </cell>
        </row>
        <row r="49">
          <cell r="B49" t="str">
            <v>Công trình lĩnh vực hành chính công</v>
          </cell>
          <cell r="C49">
            <v>0</v>
          </cell>
          <cell r="D49">
            <v>0</v>
          </cell>
          <cell r="E49">
            <v>0</v>
          </cell>
          <cell r="F49">
            <v>0</v>
          </cell>
          <cell r="G49">
            <v>0</v>
          </cell>
          <cell r="H49">
            <v>10000</v>
          </cell>
          <cell r="I49">
            <v>0</v>
          </cell>
          <cell r="J49">
            <v>10000</v>
          </cell>
          <cell r="K49">
            <v>0</v>
          </cell>
          <cell r="L49">
            <v>0</v>
          </cell>
          <cell r="M49">
            <v>0</v>
          </cell>
          <cell r="N49">
            <v>10000</v>
          </cell>
          <cell r="O49">
            <v>10000</v>
          </cell>
          <cell r="P49">
            <v>0</v>
          </cell>
        </row>
        <row r="50">
          <cell r="B50" t="str">
            <v>Xây dựng trụ sở làm việc Ban quản lý KDL Xuân Thành và các CTCC huyện</v>
          </cell>
          <cell r="C50" t="str">
            <v>Xã Xuân Thành</v>
          </cell>
          <cell r="D50" t="str">
            <v>Nhà cấp 3</v>
          </cell>
          <cell r="E50">
            <v>2023</v>
          </cell>
          <cell r="F50">
            <v>0</v>
          </cell>
          <cell r="G50" t="str">
            <v>UBND huyện</v>
          </cell>
          <cell r="H50">
            <v>4000</v>
          </cell>
          <cell r="I50">
            <v>0</v>
          </cell>
          <cell r="J50">
            <v>4000</v>
          </cell>
          <cell r="K50">
            <v>0</v>
          </cell>
          <cell r="L50">
            <v>0</v>
          </cell>
          <cell r="M50">
            <v>0</v>
          </cell>
          <cell r="N50">
            <v>4000</v>
          </cell>
          <cell r="O50">
            <v>4000</v>
          </cell>
          <cell r="P50">
            <v>0</v>
          </cell>
        </row>
        <row r="51">
          <cell r="B51" t="str">
            <v>Nâng cấp khuôn viên và cải tạo nhà làm việc Khối đoàn thể UBMTTQ huyện</v>
          </cell>
          <cell r="C51" t="str">
            <v>TT Tiên Điền</v>
          </cell>
          <cell r="D51">
            <v>0</v>
          </cell>
          <cell r="E51">
            <v>2024</v>
          </cell>
          <cell r="F51">
            <v>0</v>
          </cell>
          <cell r="G51" t="str">
            <v>UBND huyện</v>
          </cell>
          <cell r="H51">
            <v>4000</v>
          </cell>
          <cell r="I51">
            <v>0</v>
          </cell>
          <cell r="J51">
            <v>4000</v>
          </cell>
          <cell r="K51">
            <v>0</v>
          </cell>
          <cell r="L51">
            <v>0</v>
          </cell>
          <cell r="M51">
            <v>0</v>
          </cell>
          <cell r="N51">
            <v>4000</v>
          </cell>
          <cell r="O51">
            <v>4000</v>
          </cell>
          <cell r="P51">
            <v>0</v>
          </cell>
        </row>
        <row r="52">
          <cell r="B52" t="str">
            <v>Cải tạo nâng cấp Trung tâm văn hóa - Truyền thông huyện Nghi Xuân</v>
          </cell>
          <cell r="C52" t="str">
            <v>TT Tiên Điền</v>
          </cell>
          <cell r="D52">
            <v>0</v>
          </cell>
          <cell r="E52">
            <v>2024</v>
          </cell>
          <cell r="F52">
            <v>0</v>
          </cell>
          <cell r="G52" t="str">
            <v>UBND huyện</v>
          </cell>
          <cell r="H52">
            <v>2000</v>
          </cell>
          <cell r="I52">
            <v>0</v>
          </cell>
          <cell r="J52">
            <v>2000</v>
          </cell>
          <cell r="K52">
            <v>0</v>
          </cell>
          <cell r="L52">
            <v>0</v>
          </cell>
          <cell r="M52">
            <v>0</v>
          </cell>
          <cell r="N52">
            <v>2000</v>
          </cell>
          <cell r="O52">
            <v>2000</v>
          </cell>
          <cell r="P52">
            <v>0</v>
          </cell>
        </row>
        <row r="53">
          <cell r="B53" t="str">
            <v>Công trình lĩnh vực văn hóa</v>
          </cell>
          <cell r="C53">
            <v>0</v>
          </cell>
          <cell r="D53">
            <v>0</v>
          </cell>
          <cell r="E53">
            <v>0</v>
          </cell>
          <cell r="F53">
            <v>0</v>
          </cell>
          <cell r="G53">
            <v>0</v>
          </cell>
          <cell r="H53">
            <v>47543</v>
          </cell>
          <cell r="I53">
            <v>0</v>
          </cell>
          <cell r="J53">
            <v>47543</v>
          </cell>
          <cell r="K53">
            <v>0</v>
          </cell>
          <cell r="L53">
            <v>0</v>
          </cell>
          <cell r="M53">
            <v>0</v>
          </cell>
          <cell r="N53">
            <v>47543</v>
          </cell>
          <cell r="O53">
            <v>47543</v>
          </cell>
          <cell r="P53">
            <v>0</v>
          </cell>
        </row>
        <row r="54">
          <cell r="B54" t="str">
            <v>Nhà văn hóa thể thao huyện Nghi Xuân</v>
          </cell>
          <cell r="C54" t="str">
            <v>Xã Xuân Giang</v>
          </cell>
          <cell r="D54" t="str">
            <v xml:space="preserve">Diện tích đất xây dựng khoảng 6000m2; sức chứa phòng khán giả khoảng 200-300 người </v>
          </cell>
          <cell r="E54">
            <v>2023</v>
          </cell>
          <cell r="F54">
            <v>0</v>
          </cell>
          <cell r="G54" t="str">
            <v>UBND huyện</v>
          </cell>
          <cell r="H54">
            <v>30000</v>
          </cell>
          <cell r="I54">
            <v>0</v>
          </cell>
          <cell r="J54">
            <v>30000</v>
          </cell>
          <cell r="K54">
            <v>0</v>
          </cell>
          <cell r="L54">
            <v>0</v>
          </cell>
          <cell r="M54">
            <v>0</v>
          </cell>
          <cell r="N54">
            <v>30000</v>
          </cell>
          <cell r="O54">
            <v>30000</v>
          </cell>
          <cell r="P54">
            <v>0</v>
          </cell>
        </row>
        <row r="55">
          <cell r="B55" t="str">
            <v>Sân vận động huyện</v>
          </cell>
          <cell r="C55" t="str">
            <v>Xã Xuân Giang</v>
          </cell>
          <cell r="D55">
            <v>0</v>
          </cell>
          <cell r="E55">
            <v>2024</v>
          </cell>
          <cell r="F55">
            <v>0</v>
          </cell>
          <cell r="G55" t="str">
            <v>UBND huyện</v>
          </cell>
          <cell r="H55">
            <v>17543</v>
          </cell>
          <cell r="I55">
            <v>0</v>
          </cell>
          <cell r="J55">
            <v>17543</v>
          </cell>
          <cell r="K55">
            <v>0</v>
          </cell>
          <cell r="L55">
            <v>0</v>
          </cell>
          <cell r="M55">
            <v>0</v>
          </cell>
          <cell r="N55">
            <v>17543</v>
          </cell>
          <cell r="O55">
            <v>17543</v>
          </cell>
          <cell r="P55">
            <v>0</v>
          </cell>
        </row>
        <row r="56">
          <cell r="B56" t="str">
            <v>Công trình lĩnh vực giáo dục</v>
          </cell>
          <cell r="C56">
            <v>0</v>
          </cell>
          <cell r="D56">
            <v>0</v>
          </cell>
          <cell r="E56">
            <v>0</v>
          </cell>
          <cell r="F56">
            <v>0</v>
          </cell>
          <cell r="G56">
            <v>0</v>
          </cell>
          <cell r="H56">
            <v>131400</v>
          </cell>
          <cell r="I56">
            <v>0</v>
          </cell>
          <cell r="J56">
            <v>131400</v>
          </cell>
          <cell r="K56">
            <v>0</v>
          </cell>
          <cell r="L56">
            <v>0</v>
          </cell>
          <cell r="M56">
            <v>0</v>
          </cell>
          <cell r="N56">
            <v>131400</v>
          </cell>
          <cell r="O56">
            <v>131400</v>
          </cell>
          <cell r="P56">
            <v>0</v>
          </cell>
        </row>
        <row r="57">
          <cell r="B57" t="str">
            <v>Nhà học trường tiểu học Xuân Phổ, xã Xuân Phổ</v>
          </cell>
          <cell r="C57" t="str">
            <v>Xã Xuân phổ</v>
          </cell>
          <cell r="D57" t="str">
            <v>2 tầng 8 phòng</v>
          </cell>
          <cell r="E57">
            <v>2022</v>
          </cell>
          <cell r="F57">
            <v>0</v>
          </cell>
          <cell r="G57" t="str">
            <v>UBND huyện</v>
          </cell>
          <cell r="H57">
            <v>8400</v>
          </cell>
          <cell r="I57">
            <v>0</v>
          </cell>
          <cell r="J57">
            <v>8400</v>
          </cell>
          <cell r="K57">
            <v>0</v>
          </cell>
          <cell r="L57">
            <v>0</v>
          </cell>
          <cell r="M57">
            <v>0</v>
          </cell>
          <cell r="N57">
            <v>8400</v>
          </cell>
          <cell r="O57">
            <v>8400</v>
          </cell>
          <cell r="P57">
            <v>0</v>
          </cell>
        </row>
        <row r="58">
          <cell r="B58" t="str">
            <v>Nhà hiệu bộ trường THCS Thành Mỹ, xã Xuân Mỹ</v>
          </cell>
          <cell r="C58" t="str">
            <v>Xã Xuân Mỹ</v>
          </cell>
          <cell r="D58" t="str">
            <v>2 tầng 8 phòng; cấp III</v>
          </cell>
          <cell r="E58">
            <v>2022</v>
          </cell>
          <cell r="F58">
            <v>0</v>
          </cell>
          <cell r="G58" t="str">
            <v>UBND huyện</v>
          </cell>
          <cell r="H58">
            <v>6000</v>
          </cell>
          <cell r="I58">
            <v>0</v>
          </cell>
          <cell r="J58">
            <v>6000</v>
          </cell>
          <cell r="K58">
            <v>0</v>
          </cell>
          <cell r="L58">
            <v>0</v>
          </cell>
          <cell r="M58">
            <v>0</v>
          </cell>
          <cell r="N58">
            <v>6000</v>
          </cell>
          <cell r="O58">
            <v>6000</v>
          </cell>
          <cell r="P58">
            <v>0</v>
          </cell>
        </row>
        <row r="59">
          <cell r="B59" t="str">
            <v>Nhà hiệu bộ, chức năng trường Mầm non Xuân Hải</v>
          </cell>
          <cell r="C59" t="str">
            <v>Xã Xuân Hải</v>
          </cell>
          <cell r="D59" t="str">
            <v>04 phòng chức năng + các phòng hành chính</v>
          </cell>
          <cell r="E59">
            <v>2022</v>
          </cell>
          <cell r="F59">
            <v>0</v>
          </cell>
          <cell r="G59" t="str">
            <v>UBND huyện</v>
          </cell>
          <cell r="H59">
            <v>8000</v>
          </cell>
          <cell r="I59">
            <v>0</v>
          </cell>
          <cell r="J59">
            <v>8000</v>
          </cell>
          <cell r="K59">
            <v>0</v>
          </cell>
          <cell r="L59">
            <v>0</v>
          </cell>
          <cell r="M59">
            <v>0</v>
          </cell>
          <cell r="N59">
            <v>8000</v>
          </cell>
          <cell r="O59">
            <v>8000</v>
          </cell>
          <cell r="P59">
            <v>0</v>
          </cell>
        </row>
        <row r="60">
          <cell r="B60" t="str">
            <v>Nhà đa năng trường THCS Lam Hồng, Xã Xuân Hồng</v>
          </cell>
          <cell r="C60" t="str">
            <v>Xã Xuân Hồng</v>
          </cell>
          <cell r="D60" t="str">
            <v>Diện tích khoảng 700m2; cấp III</v>
          </cell>
          <cell r="E60">
            <v>2022</v>
          </cell>
          <cell r="F60">
            <v>0</v>
          </cell>
          <cell r="G60" t="str">
            <v>UBND huyện</v>
          </cell>
          <cell r="H60">
            <v>4500</v>
          </cell>
          <cell r="I60">
            <v>0</v>
          </cell>
          <cell r="J60">
            <v>4500</v>
          </cell>
          <cell r="K60">
            <v>0</v>
          </cell>
          <cell r="L60">
            <v>0</v>
          </cell>
          <cell r="M60">
            <v>0</v>
          </cell>
          <cell r="N60">
            <v>4500</v>
          </cell>
          <cell r="O60">
            <v>4500</v>
          </cell>
          <cell r="P60">
            <v>0</v>
          </cell>
        </row>
        <row r="61">
          <cell r="B61" t="str">
            <v>Nhà học trường Tiểu học Thị trấn Tiên Điền</v>
          </cell>
          <cell r="C61" t="str">
            <v>Thị trấn Tiên Điền</v>
          </cell>
          <cell r="D61">
            <v>0</v>
          </cell>
          <cell r="E61">
            <v>2022</v>
          </cell>
          <cell r="F61">
            <v>0</v>
          </cell>
          <cell r="G61" t="str">
            <v>UBND huyện</v>
          </cell>
          <cell r="H61">
            <v>10500</v>
          </cell>
          <cell r="I61">
            <v>0</v>
          </cell>
          <cell r="J61">
            <v>10500</v>
          </cell>
          <cell r="K61">
            <v>0</v>
          </cell>
          <cell r="L61">
            <v>0</v>
          </cell>
          <cell r="M61">
            <v>0</v>
          </cell>
          <cell r="N61">
            <v>10500</v>
          </cell>
          <cell r="O61">
            <v>10500</v>
          </cell>
          <cell r="P61">
            <v>0</v>
          </cell>
        </row>
        <row r="62">
          <cell r="B62" t="str">
            <v>Nhà học trường Tiểu học Xuân Yên, xã Xuân Yên</v>
          </cell>
          <cell r="C62" t="str">
            <v>Xã Xuân Yên</v>
          </cell>
          <cell r="D62" t="str">
            <v>2 tầng 10 phòng; cấp III</v>
          </cell>
          <cell r="E62">
            <v>2022</v>
          </cell>
          <cell r="F62">
            <v>0</v>
          </cell>
          <cell r="G62" t="str">
            <v>UBND huyện</v>
          </cell>
          <cell r="H62">
            <v>7000</v>
          </cell>
          <cell r="I62">
            <v>0</v>
          </cell>
          <cell r="J62">
            <v>7000</v>
          </cell>
          <cell r="K62">
            <v>0</v>
          </cell>
          <cell r="L62">
            <v>0</v>
          </cell>
          <cell r="M62">
            <v>0</v>
          </cell>
          <cell r="N62">
            <v>7000</v>
          </cell>
          <cell r="O62">
            <v>7000</v>
          </cell>
          <cell r="P62">
            <v>0</v>
          </cell>
        </row>
        <row r="63">
          <cell r="B63" t="str">
            <v>Nâng cấp sữa chữa khuôn viên Trung tâm chính trị huyện</v>
          </cell>
          <cell r="C63" t="str">
            <v>TT Tiên Điền</v>
          </cell>
          <cell r="D63" t="str">
            <v>Nâng cấp sân, mương, bồn hoa cây cảnh; trang thiết bị dạy học.</v>
          </cell>
          <cell r="E63">
            <v>2022</v>
          </cell>
          <cell r="F63">
            <v>0</v>
          </cell>
          <cell r="G63" t="str">
            <v>UBND huyện</v>
          </cell>
          <cell r="H63">
            <v>2000</v>
          </cell>
          <cell r="I63">
            <v>0</v>
          </cell>
          <cell r="J63">
            <v>2000</v>
          </cell>
          <cell r="K63">
            <v>0</v>
          </cell>
          <cell r="L63">
            <v>0</v>
          </cell>
          <cell r="M63">
            <v>0</v>
          </cell>
          <cell r="N63">
            <v>2000</v>
          </cell>
          <cell r="O63">
            <v>2000</v>
          </cell>
          <cell r="P63">
            <v>0</v>
          </cell>
        </row>
        <row r="64">
          <cell r="B64" t="str">
            <v xml:space="preserve">Nhà học 2 tầng 10 phòng và nhà vệ sinh giáo viên trường mầm non Tiên Điền, huyện Nghi Xuân </v>
          </cell>
          <cell r="C64" t="str">
            <v>TT Tiên Điền</v>
          </cell>
          <cell r="D64">
            <v>0</v>
          </cell>
          <cell r="E64">
            <v>2023</v>
          </cell>
          <cell r="F64">
            <v>0</v>
          </cell>
          <cell r="G64" t="str">
            <v>UBND huyện</v>
          </cell>
          <cell r="H64">
            <v>13500</v>
          </cell>
          <cell r="I64">
            <v>0</v>
          </cell>
          <cell r="J64">
            <v>13500</v>
          </cell>
          <cell r="K64">
            <v>0</v>
          </cell>
          <cell r="L64">
            <v>0</v>
          </cell>
          <cell r="M64">
            <v>0</v>
          </cell>
          <cell r="N64">
            <v>13500</v>
          </cell>
          <cell r="O64">
            <v>13500</v>
          </cell>
          <cell r="P64">
            <v>0</v>
          </cell>
        </row>
        <row r="65">
          <cell r="B65" t="str">
            <v>Nhà hiệu bộ và chức năng 2 tầng 8 phòng Trường tiểu học Xuân Giang</v>
          </cell>
          <cell r="C65" t="str">
            <v>Xã Xuân Giang</v>
          </cell>
          <cell r="D65">
            <v>0</v>
          </cell>
          <cell r="E65">
            <v>2023</v>
          </cell>
          <cell r="F65">
            <v>0</v>
          </cell>
          <cell r="G65" t="str">
            <v>UBND huyện</v>
          </cell>
          <cell r="H65">
            <v>6000</v>
          </cell>
          <cell r="I65">
            <v>0</v>
          </cell>
          <cell r="J65">
            <v>6000</v>
          </cell>
          <cell r="K65">
            <v>0</v>
          </cell>
          <cell r="L65">
            <v>0</v>
          </cell>
          <cell r="M65">
            <v>0</v>
          </cell>
          <cell r="N65">
            <v>6000</v>
          </cell>
          <cell r="O65">
            <v>6000</v>
          </cell>
          <cell r="P65">
            <v>0</v>
          </cell>
        </row>
        <row r="66">
          <cell r="B66" t="str">
            <v>Dãy nhà hiệu bộ 2 tầng 15 phòng trường THCS Xuân Viên</v>
          </cell>
          <cell r="C66" t="str">
            <v>Xã Xuân Viên</v>
          </cell>
          <cell r="D66">
            <v>0</v>
          </cell>
          <cell r="E66">
            <v>2023</v>
          </cell>
          <cell r="F66">
            <v>0</v>
          </cell>
          <cell r="G66" t="str">
            <v>UBND huyện</v>
          </cell>
          <cell r="H66">
            <v>10500</v>
          </cell>
          <cell r="I66">
            <v>0</v>
          </cell>
          <cell r="J66">
            <v>10500</v>
          </cell>
          <cell r="K66">
            <v>0</v>
          </cell>
          <cell r="L66">
            <v>0</v>
          </cell>
          <cell r="M66">
            <v>0</v>
          </cell>
          <cell r="N66">
            <v>10500</v>
          </cell>
          <cell r="O66">
            <v>10500</v>
          </cell>
          <cell r="P66">
            <v>0</v>
          </cell>
        </row>
        <row r="67">
          <cell r="B67" t="str">
            <v>Nhà học 02 tầng 08 phòng trường THCS Hoa Liên</v>
          </cell>
          <cell r="C67" t="str">
            <v>Xã Xuân Liên</v>
          </cell>
          <cell r="D67" t="str">
            <v>2 tầng 10 phòng 900m2 cấp III</v>
          </cell>
          <cell r="E67">
            <v>2024</v>
          </cell>
          <cell r="F67">
            <v>0</v>
          </cell>
          <cell r="G67" t="str">
            <v>UBND huyện</v>
          </cell>
          <cell r="H67">
            <v>5000</v>
          </cell>
          <cell r="I67">
            <v>0</v>
          </cell>
          <cell r="J67">
            <v>5000</v>
          </cell>
          <cell r="K67">
            <v>0</v>
          </cell>
          <cell r="L67">
            <v>0</v>
          </cell>
          <cell r="M67">
            <v>0</v>
          </cell>
          <cell r="N67">
            <v>5000</v>
          </cell>
          <cell r="O67">
            <v>5000</v>
          </cell>
          <cell r="P67">
            <v>0</v>
          </cell>
        </row>
        <row r="68">
          <cell r="B68" t="str">
            <v>Nhà học 04 tầng trường THCS Xuân An, TT Xuân An</v>
          </cell>
          <cell r="C68" t="str">
            <v>TT Xuân An</v>
          </cell>
          <cell r="D68">
            <v>0</v>
          </cell>
          <cell r="E68">
            <v>2024</v>
          </cell>
          <cell r="F68">
            <v>0</v>
          </cell>
          <cell r="G68" t="str">
            <v>UBND huyện</v>
          </cell>
          <cell r="H68">
            <v>12000</v>
          </cell>
          <cell r="I68">
            <v>0</v>
          </cell>
          <cell r="J68">
            <v>12000</v>
          </cell>
          <cell r="K68">
            <v>0</v>
          </cell>
          <cell r="L68">
            <v>0</v>
          </cell>
          <cell r="M68">
            <v>0</v>
          </cell>
          <cell r="N68">
            <v>12000</v>
          </cell>
          <cell r="O68">
            <v>12000</v>
          </cell>
          <cell r="P68">
            <v>0</v>
          </cell>
        </row>
        <row r="69">
          <cell r="B69" t="str">
            <v>Nhà đa năng trường THPT Nguyến Công Trứ</v>
          </cell>
          <cell r="C69" t="str">
            <v>TT Xuân An</v>
          </cell>
          <cell r="D69" t="str">
            <v>Diện tích khoảng 800m2; cấp III</v>
          </cell>
          <cell r="E69">
            <v>2024</v>
          </cell>
          <cell r="F69">
            <v>0</v>
          </cell>
          <cell r="G69" t="str">
            <v>UBND huyện</v>
          </cell>
          <cell r="H69">
            <v>6000</v>
          </cell>
          <cell r="I69">
            <v>0</v>
          </cell>
          <cell r="J69">
            <v>6000</v>
          </cell>
          <cell r="K69">
            <v>0</v>
          </cell>
          <cell r="L69">
            <v>0</v>
          </cell>
          <cell r="M69">
            <v>0</v>
          </cell>
          <cell r="N69">
            <v>6000</v>
          </cell>
          <cell r="O69">
            <v>6000</v>
          </cell>
          <cell r="P69">
            <v>0</v>
          </cell>
        </row>
        <row r="70">
          <cell r="B70" t="str">
            <v>Xây dựng mới 6 phòng học, 04 phòng chức năng trường mầm non Xuân Liên</v>
          </cell>
          <cell r="C70" t="str">
            <v>Xã Xuân Liên</v>
          </cell>
          <cell r="D70" t="str">
            <v>6 phòng học + 4 phòng chức năng</v>
          </cell>
          <cell r="E70">
            <v>2024</v>
          </cell>
          <cell r="F70">
            <v>0</v>
          </cell>
          <cell r="G70" t="str">
            <v>UBND huyện</v>
          </cell>
          <cell r="H70">
            <v>6500</v>
          </cell>
          <cell r="I70">
            <v>0</v>
          </cell>
          <cell r="J70">
            <v>6500</v>
          </cell>
          <cell r="K70">
            <v>0</v>
          </cell>
          <cell r="L70">
            <v>0</v>
          </cell>
          <cell r="M70">
            <v>0</v>
          </cell>
          <cell r="N70">
            <v>6500</v>
          </cell>
          <cell r="O70">
            <v>6500</v>
          </cell>
          <cell r="P70">
            <v>0</v>
          </cell>
        </row>
        <row r="71">
          <cell r="B71" t="str">
            <v>05 phòng học bộ môn; 04 phòng hỗ trợ học tập, phụ trợ trưởng tiểu học Xuân Lam</v>
          </cell>
          <cell r="C71" t="str">
            <v>Xã Xuân Lam</v>
          </cell>
          <cell r="D71" t="str">
            <v>5 phòng bộ môn, 04 phòng học tạp phụ trợ</v>
          </cell>
          <cell r="E71">
            <v>2025</v>
          </cell>
          <cell r="F71">
            <v>0</v>
          </cell>
          <cell r="G71" t="str">
            <v>UBND huyện</v>
          </cell>
          <cell r="H71">
            <v>5500</v>
          </cell>
          <cell r="I71">
            <v>0</v>
          </cell>
          <cell r="J71">
            <v>5500</v>
          </cell>
          <cell r="K71">
            <v>0</v>
          </cell>
          <cell r="L71">
            <v>0</v>
          </cell>
          <cell r="M71">
            <v>0</v>
          </cell>
          <cell r="N71">
            <v>5500</v>
          </cell>
          <cell r="O71">
            <v>5500</v>
          </cell>
          <cell r="P71">
            <v>0</v>
          </cell>
        </row>
        <row r="72">
          <cell r="B72" t="str">
            <v>Nhà 02 tầng 6 phòng chức năng MN Cổ Đạm</v>
          </cell>
          <cell r="C72" t="str">
            <v>Xã Cổ Đạm</v>
          </cell>
          <cell r="D72">
            <v>2025</v>
          </cell>
          <cell r="E72">
            <v>2025</v>
          </cell>
          <cell r="F72">
            <v>0</v>
          </cell>
          <cell r="G72" t="str">
            <v>UBND huyện</v>
          </cell>
          <cell r="H72">
            <v>5000</v>
          </cell>
          <cell r="I72">
            <v>0</v>
          </cell>
          <cell r="J72">
            <v>5000</v>
          </cell>
          <cell r="K72">
            <v>0</v>
          </cell>
          <cell r="L72">
            <v>0</v>
          </cell>
          <cell r="M72">
            <v>0</v>
          </cell>
          <cell r="N72">
            <v>5000</v>
          </cell>
          <cell r="O72">
            <v>5000</v>
          </cell>
          <cell r="P72">
            <v>0</v>
          </cell>
        </row>
        <row r="73">
          <cell r="B73" t="str">
            <v>Trường học thông minh tại trường THCS Nguyễn Trãi</v>
          </cell>
          <cell r="C73" t="str">
            <v>TT Tiên Điền</v>
          </cell>
          <cell r="D73" t="str">
            <v xml:space="preserve"> + Đầu tư mới hệ thống phòng học thông minh gồm thiết bị, phần mềm, hạ tầng mạng wifi cho 04 Phòng học thông minh cho các khối 6, 7, 8 và 9.
 + Trang cấp thiết bị thông minh cho 22 lớp học còn lại.
 + Đầu tư xây dựng hệ thống camera giám sát, hạ tầng kết nối cho các phòng học thông minh của trường.
+ Cải tạo dãy nhà học 2 tầng gồm 6 phòng học dành cho PHTM.</v>
          </cell>
          <cell r="E73">
            <v>2025</v>
          </cell>
          <cell r="F73">
            <v>0</v>
          </cell>
          <cell r="G73" t="str">
            <v>UBND huyện</v>
          </cell>
          <cell r="H73">
            <v>15000</v>
          </cell>
          <cell r="I73">
            <v>0</v>
          </cell>
          <cell r="J73">
            <v>15000</v>
          </cell>
          <cell r="K73">
            <v>0</v>
          </cell>
          <cell r="L73">
            <v>0</v>
          </cell>
          <cell r="M73">
            <v>0</v>
          </cell>
          <cell r="N73">
            <v>15000</v>
          </cell>
          <cell r="O73">
            <v>15000</v>
          </cell>
          <cell r="P73">
            <v>0</v>
          </cell>
        </row>
        <row r="74">
          <cell r="B74" t="str">
            <v>Công trình lĩnh vực Y tế</v>
          </cell>
          <cell r="C74">
            <v>0</v>
          </cell>
          <cell r="D74">
            <v>0</v>
          </cell>
          <cell r="E74">
            <v>0</v>
          </cell>
          <cell r="F74">
            <v>0</v>
          </cell>
          <cell r="G74">
            <v>0</v>
          </cell>
          <cell r="H74">
            <v>5500</v>
          </cell>
          <cell r="I74">
            <v>0</v>
          </cell>
          <cell r="J74">
            <v>5500</v>
          </cell>
          <cell r="K74">
            <v>0</v>
          </cell>
          <cell r="L74">
            <v>0</v>
          </cell>
          <cell r="M74">
            <v>0</v>
          </cell>
          <cell r="N74">
            <v>5500</v>
          </cell>
          <cell r="O74">
            <v>5500</v>
          </cell>
          <cell r="P74">
            <v>0</v>
          </cell>
        </row>
        <row r="75">
          <cell r="B75" t="str">
            <v>Nâng cấp sửa chữa khu nhà dược TT y tế huyện</v>
          </cell>
          <cell r="C75" t="str">
            <v>TT Tiên Điền</v>
          </cell>
          <cell r="D75">
            <v>0</v>
          </cell>
          <cell r="E75">
            <v>2023</v>
          </cell>
          <cell r="F75">
            <v>0</v>
          </cell>
          <cell r="G75" t="str">
            <v>UBND huyện</v>
          </cell>
          <cell r="H75">
            <v>2000</v>
          </cell>
          <cell r="I75">
            <v>0</v>
          </cell>
          <cell r="J75">
            <v>2000</v>
          </cell>
          <cell r="K75">
            <v>0</v>
          </cell>
          <cell r="L75">
            <v>0</v>
          </cell>
          <cell r="M75">
            <v>0</v>
          </cell>
          <cell r="N75">
            <v>2000</v>
          </cell>
          <cell r="O75">
            <v>2000</v>
          </cell>
          <cell r="P75">
            <v>0</v>
          </cell>
        </row>
        <row r="76">
          <cell r="B76" t="str">
            <v>Nâng cấp sửa chữa phòng khám TT y tế huyện</v>
          </cell>
          <cell r="C76" t="str">
            <v>TT Tiên Điền</v>
          </cell>
          <cell r="D76">
            <v>0</v>
          </cell>
          <cell r="E76">
            <v>2024</v>
          </cell>
          <cell r="F76">
            <v>0</v>
          </cell>
          <cell r="G76" t="str">
            <v>UBND huyện</v>
          </cell>
          <cell r="H76">
            <v>3500</v>
          </cell>
          <cell r="I76">
            <v>0</v>
          </cell>
          <cell r="J76">
            <v>3500</v>
          </cell>
          <cell r="K76">
            <v>0</v>
          </cell>
          <cell r="L76">
            <v>0</v>
          </cell>
          <cell r="M76">
            <v>0</v>
          </cell>
          <cell r="N76">
            <v>3500</v>
          </cell>
          <cell r="O76">
            <v>3500</v>
          </cell>
          <cell r="P76">
            <v>0</v>
          </cell>
        </row>
        <row r="77">
          <cell r="B77" t="str">
            <v>Công trình Hạ tầng kỹ thuật</v>
          </cell>
          <cell r="C77">
            <v>0</v>
          </cell>
          <cell r="D77">
            <v>0</v>
          </cell>
          <cell r="E77">
            <v>0</v>
          </cell>
          <cell r="F77">
            <v>0</v>
          </cell>
          <cell r="G77">
            <v>0</v>
          </cell>
          <cell r="H77">
            <v>87633</v>
          </cell>
          <cell r="I77">
            <v>0</v>
          </cell>
          <cell r="J77">
            <v>87633</v>
          </cell>
          <cell r="K77">
            <v>0</v>
          </cell>
          <cell r="L77">
            <v>2850</v>
          </cell>
          <cell r="M77">
            <v>2850</v>
          </cell>
          <cell r="N77">
            <v>70025</v>
          </cell>
          <cell r="O77">
            <v>70025</v>
          </cell>
          <cell r="P77">
            <v>0</v>
          </cell>
        </row>
        <row r="78">
          <cell r="B78" t="str">
            <v>Vỏ mộ Nghĩa trang liệt sỹ huyện Nghi Xuân</v>
          </cell>
          <cell r="C78" t="str">
            <v>Xã Xuân Mỹ</v>
          </cell>
          <cell r="D78" t="str">
            <v>Xây dựng mới 336 mộ và vỏ mộ</v>
          </cell>
          <cell r="E78">
            <v>2021</v>
          </cell>
          <cell r="F78" t="str">
            <v>1390/QĐ-UBND ngày 13/4/2021</v>
          </cell>
          <cell r="G78" t="str">
            <v>UBND huyện</v>
          </cell>
          <cell r="H78">
            <v>2290</v>
          </cell>
          <cell r="I78">
            <v>0</v>
          </cell>
          <cell r="J78">
            <v>2290</v>
          </cell>
          <cell r="K78">
            <v>0</v>
          </cell>
          <cell r="L78">
            <v>0</v>
          </cell>
          <cell r="M78">
            <v>0</v>
          </cell>
          <cell r="N78">
            <v>2182</v>
          </cell>
          <cell r="O78">
            <v>2182</v>
          </cell>
          <cell r="P78">
            <v>0</v>
          </cell>
        </row>
        <row r="79">
          <cell r="B79" t="str">
            <v>Nhà tắm công cộng và các hạng mục phụ trợ Quảng trường KDL Xuân Thành</v>
          </cell>
          <cell r="C79" t="str">
            <v>Khu du lịch Xuân Thành</v>
          </cell>
          <cell r="D79" t="str">
            <v>Xây dựng mới 336 mộ và vỏ mộ</v>
          </cell>
          <cell r="E79">
            <v>2022</v>
          </cell>
          <cell r="F79">
            <v>0</v>
          </cell>
          <cell r="G79" t="str">
            <v>UBND huyện</v>
          </cell>
          <cell r="H79">
            <v>1500</v>
          </cell>
          <cell r="I79">
            <v>0</v>
          </cell>
          <cell r="J79">
            <v>1500</v>
          </cell>
          <cell r="K79">
            <v>0</v>
          </cell>
          <cell r="L79">
            <v>0</v>
          </cell>
          <cell r="M79">
            <v>0</v>
          </cell>
          <cell r="N79">
            <v>1500</v>
          </cell>
          <cell r="O79">
            <v>1500</v>
          </cell>
          <cell r="P79">
            <v>0</v>
          </cell>
        </row>
        <row r="80">
          <cell r="B80" t="str">
            <v>Hạ tầng xen dặm khu dân cư thôn Hội Tiến, xã Xuân Hội</v>
          </cell>
          <cell r="C80" t="str">
            <v>Xã Xuân Hội</v>
          </cell>
          <cell r="D80" t="str">
            <v>San lấp mặt bằng khu dân cư khoảng 1.000m2
Xây dựng tuyến đường nối khu quy hoạch lên tuyến đê Hội Thống với chiều dài khoảng 100m</v>
          </cell>
          <cell r="E80">
            <v>2021</v>
          </cell>
          <cell r="F80" t="str">
            <v>330/QĐ-UBND ngày 05/2/2021</v>
          </cell>
          <cell r="G80" t="str">
            <v>UBND huyện</v>
          </cell>
          <cell r="H80">
            <v>843</v>
          </cell>
          <cell r="I80">
            <v>0</v>
          </cell>
          <cell r="J80">
            <v>843</v>
          </cell>
          <cell r="K80">
            <v>0</v>
          </cell>
          <cell r="L80">
            <v>850</v>
          </cell>
          <cell r="M80">
            <v>850</v>
          </cell>
          <cell r="N80">
            <v>843</v>
          </cell>
          <cell r="O80">
            <v>843</v>
          </cell>
          <cell r="P80">
            <v>0</v>
          </cell>
        </row>
        <row r="81">
          <cell r="B81" t="str">
            <v>Lắp đặt cụm tín hiệu giao thông ngã tư giao đường ĐT.547 với đường ĐH.24 xã Xuân Yên</v>
          </cell>
          <cell r="C81" t="str">
            <v>Xã Xuân Yên; TT Tiên Điền</v>
          </cell>
          <cell r="D81" t="str">
            <v>01 cụm đèn tín hiệu giao thông tại ngã tư giao đường ĐT.547 với đường ĐH.24 xã Xuân Yên</v>
          </cell>
          <cell r="E81">
            <v>2021</v>
          </cell>
          <cell r="F81">
            <v>0</v>
          </cell>
          <cell r="G81" t="str">
            <v>UBND huyện</v>
          </cell>
          <cell r="H81">
            <v>2000</v>
          </cell>
          <cell r="I81">
            <v>0</v>
          </cell>
          <cell r="J81">
            <v>2000</v>
          </cell>
          <cell r="K81">
            <v>0</v>
          </cell>
          <cell r="L81">
            <v>2000</v>
          </cell>
          <cell r="M81">
            <v>2000</v>
          </cell>
          <cell r="N81">
            <v>2000</v>
          </cell>
          <cell r="O81">
            <v>2000</v>
          </cell>
          <cell r="P81">
            <v>0</v>
          </cell>
        </row>
        <row r="82">
          <cell r="B82" t="str">
            <v>Lắp đặt hệ thống các cụm đèn tín hiệu giao thông</v>
          </cell>
          <cell r="C82" t="str">
            <v>Xã Xuân Yên; TT Tiên Điền</v>
          </cell>
          <cell r="D82" t="str">
            <v>02 cụm đèn tín hiệu giao thông tại  ngã tư chợ Xuân Yên; Ngã tư giao cắt đường Giang Tiên với đường Nguyễn Hành</v>
          </cell>
          <cell r="E82">
            <v>2023</v>
          </cell>
          <cell r="F82">
            <v>0</v>
          </cell>
          <cell r="G82" t="str">
            <v>UBND huyện</v>
          </cell>
          <cell r="H82">
            <v>4000</v>
          </cell>
          <cell r="I82">
            <v>0</v>
          </cell>
          <cell r="J82">
            <v>4000</v>
          </cell>
          <cell r="K82">
            <v>0</v>
          </cell>
          <cell r="L82">
            <v>0</v>
          </cell>
          <cell r="M82">
            <v>0</v>
          </cell>
          <cell r="N82">
            <v>4000</v>
          </cell>
          <cell r="O82">
            <v>4000</v>
          </cell>
          <cell r="P82">
            <v>0</v>
          </cell>
        </row>
        <row r="83">
          <cell r="B83" t="str">
            <v>Hạ tầng kỷ thuật khu tái định cư di dời các hộ dân vùng sạt lở xã Xuân Lam</v>
          </cell>
          <cell r="C83" t="str">
            <v>Xã Xuân Lam</v>
          </cell>
          <cell r="D83" t="str">
            <v>Hạ tầng kỷ thuật khu tái định cư 18 lô gồm san nền, đường nội bộ, mương thoát nước, hệ thống điện</v>
          </cell>
          <cell r="E83">
            <v>2023</v>
          </cell>
          <cell r="F83">
            <v>0</v>
          </cell>
          <cell r="G83" t="str">
            <v>UBND huyện</v>
          </cell>
          <cell r="H83">
            <v>4000</v>
          </cell>
          <cell r="I83">
            <v>0</v>
          </cell>
          <cell r="J83">
            <v>4000</v>
          </cell>
          <cell r="K83">
            <v>0</v>
          </cell>
          <cell r="L83">
            <v>0</v>
          </cell>
          <cell r="M83">
            <v>0</v>
          </cell>
          <cell r="N83">
            <v>4000</v>
          </cell>
          <cell r="O83">
            <v>4000</v>
          </cell>
          <cell r="P83">
            <v>0</v>
          </cell>
        </row>
        <row r="84">
          <cell r="B84" t="str">
            <v xml:space="preserve">Hệ thống cấp nước sạch thị trấn Xuân An </v>
          </cell>
          <cell r="C84" t="str">
            <v>TT Xuân An</v>
          </cell>
          <cell r="D84" t="str">
            <v>Lắp đặt bổ sung, xen dắm các tuyến ống cấp nước HDPE D110÷D40 đảm bảo cho việc cấp nước ổn định lâu dài, phát triển trong tương lai</v>
          </cell>
          <cell r="E84">
            <v>2023</v>
          </cell>
          <cell r="F84">
            <v>0</v>
          </cell>
          <cell r="G84" t="str">
            <v>UBND huyện</v>
          </cell>
          <cell r="H84">
            <v>5000</v>
          </cell>
          <cell r="I84">
            <v>0</v>
          </cell>
          <cell r="J84">
            <v>5000</v>
          </cell>
          <cell r="K84">
            <v>0</v>
          </cell>
          <cell r="L84">
            <v>0</v>
          </cell>
          <cell r="M84">
            <v>0</v>
          </cell>
          <cell r="N84">
            <v>5000</v>
          </cell>
          <cell r="O84">
            <v>5000</v>
          </cell>
          <cell r="P84">
            <v>0</v>
          </cell>
        </row>
        <row r="85">
          <cell r="B85" t="str">
            <v>Mở rộng Mạng lưới cấp nước sinh hoạt xã Xuân Hải, Xuân Phổ</v>
          </cell>
          <cell r="C85" t="str">
            <v>Xã Xuân Phổ, xã Xuân Hải</v>
          </cell>
          <cell r="D85" t="str">
            <v>Lắp đặt bổ sung, xen dắm các tuyến ống cấp nước HDPE D110÷D40 đảm bảo cho việc cấp nước ổn định lâu dài, phát triển trong tương lai</v>
          </cell>
          <cell r="E85">
            <v>2024</v>
          </cell>
          <cell r="F85">
            <v>0</v>
          </cell>
          <cell r="G85" t="str">
            <v>UBND huyện</v>
          </cell>
          <cell r="H85">
            <v>28000</v>
          </cell>
          <cell r="I85">
            <v>0</v>
          </cell>
          <cell r="J85">
            <v>28000</v>
          </cell>
          <cell r="K85">
            <v>0</v>
          </cell>
          <cell r="L85">
            <v>0</v>
          </cell>
          <cell r="M85">
            <v>0</v>
          </cell>
          <cell r="N85">
            <v>10500</v>
          </cell>
          <cell r="O85">
            <v>10500</v>
          </cell>
          <cell r="P85">
            <v>0</v>
          </cell>
        </row>
        <row r="86">
          <cell r="B86" t="str">
            <v>Số hóa hành chính, các khu di tích và du lịch huyện Nghi Xuân</v>
          </cell>
          <cell r="C86" t="str">
            <v>Huyện Nghi Xuân</v>
          </cell>
          <cell r="D86" t="str">
            <v>Đưa bản đồ hành chính, các khu di tích, du lịch lên web</v>
          </cell>
          <cell r="E86">
            <v>2025</v>
          </cell>
          <cell r="F86">
            <v>0</v>
          </cell>
          <cell r="G86" t="str">
            <v>UBND huyện</v>
          </cell>
          <cell r="H86">
            <v>40000</v>
          </cell>
          <cell r="I86">
            <v>0</v>
          </cell>
          <cell r="J86">
            <v>40000</v>
          </cell>
          <cell r="K86">
            <v>0</v>
          </cell>
          <cell r="L86">
            <v>0</v>
          </cell>
          <cell r="M86">
            <v>0</v>
          </cell>
          <cell r="N86">
            <v>40000</v>
          </cell>
          <cell r="O86">
            <v>40000</v>
          </cell>
          <cell r="P86">
            <v>0</v>
          </cell>
        </row>
        <row r="87">
          <cell r="B87" t="str">
            <v>Công trình Nông nghiệp &amp; PTNT</v>
          </cell>
          <cell r="C87">
            <v>0</v>
          </cell>
          <cell r="D87">
            <v>0</v>
          </cell>
          <cell r="E87">
            <v>0</v>
          </cell>
          <cell r="F87">
            <v>0</v>
          </cell>
          <cell r="G87">
            <v>0</v>
          </cell>
          <cell r="H87">
            <v>32000</v>
          </cell>
          <cell r="I87">
            <v>0</v>
          </cell>
          <cell r="J87">
            <v>32000</v>
          </cell>
          <cell r="K87">
            <v>0</v>
          </cell>
          <cell r="L87">
            <v>0</v>
          </cell>
          <cell r="M87">
            <v>0</v>
          </cell>
          <cell r="N87">
            <v>32000</v>
          </cell>
          <cell r="O87">
            <v>32000</v>
          </cell>
          <cell r="P87">
            <v>0</v>
          </cell>
        </row>
        <row r="88">
          <cell r="B88" t="str">
            <v>Nâng cấp, cải tạo hồ chứa nước Trúc Bè xã Xuân Lĩnh</v>
          </cell>
          <cell r="C88" t="str">
            <v>Xã Xuân Lĩnh</v>
          </cell>
          <cell r="D88" t="str">
            <v>Đắp đất cấp 3 đầm chặt để mở rộng lòng hồ, sữa chữa tràn xã lũ, gia cố mái thượng lưu bằng đá hộc trong khung dầm BTCT</v>
          </cell>
          <cell r="E88">
            <v>2023</v>
          </cell>
          <cell r="F88">
            <v>0</v>
          </cell>
          <cell r="G88" t="str">
            <v>UBND huyện</v>
          </cell>
          <cell r="H88">
            <v>8000</v>
          </cell>
          <cell r="I88">
            <v>0</v>
          </cell>
          <cell r="J88">
            <v>8000</v>
          </cell>
          <cell r="K88">
            <v>0</v>
          </cell>
          <cell r="L88">
            <v>0</v>
          </cell>
          <cell r="M88">
            <v>0</v>
          </cell>
          <cell r="N88">
            <v>8000</v>
          </cell>
          <cell r="O88">
            <v>8000</v>
          </cell>
          <cell r="P88">
            <v>0</v>
          </cell>
        </row>
        <row r="89">
          <cell r="B89" t="str">
            <v>Nâng cấp hồ chứa nước Đồng Ván xã Xuân Hồng</v>
          </cell>
          <cell r="C89" t="str">
            <v>Xã Xuân Hồng</v>
          </cell>
          <cell r="D89" t="str">
            <v>Nạo vét lòng hồ và sửa chữa mái thượng lưu,</v>
          </cell>
          <cell r="E89">
            <v>2023</v>
          </cell>
          <cell r="F89">
            <v>0</v>
          </cell>
          <cell r="G89" t="str">
            <v>UBND huyện</v>
          </cell>
          <cell r="H89">
            <v>5000</v>
          </cell>
          <cell r="I89">
            <v>0</v>
          </cell>
          <cell r="J89">
            <v>5000</v>
          </cell>
          <cell r="K89">
            <v>0</v>
          </cell>
          <cell r="L89">
            <v>0</v>
          </cell>
          <cell r="M89">
            <v>0</v>
          </cell>
          <cell r="N89">
            <v>5000</v>
          </cell>
          <cell r="O89">
            <v>5000</v>
          </cell>
          <cell r="P89">
            <v>0</v>
          </cell>
        </row>
        <row r="90">
          <cell r="B90" t="str">
            <v>Nâng cấp, sữa chữa Trạm bơm Đồng Bấn xã Xuân lam</v>
          </cell>
          <cell r="C90" t="str">
            <v>Xã Xuân Lam</v>
          </cell>
          <cell r="D90" t="str">
            <v>Nâng cấp nhà máy bơm, bể hút, hệ thống máy bơm và nạo vét lòng dẫn</v>
          </cell>
          <cell r="E90">
            <v>2024</v>
          </cell>
          <cell r="F90">
            <v>0</v>
          </cell>
          <cell r="G90" t="str">
            <v>UBND huyện</v>
          </cell>
          <cell r="H90">
            <v>4000</v>
          </cell>
          <cell r="I90">
            <v>0</v>
          </cell>
          <cell r="J90">
            <v>4000</v>
          </cell>
          <cell r="K90">
            <v>0</v>
          </cell>
          <cell r="L90">
            <v>0</v>
          </cell>
          <cell r="M90">
            <v>0</v>
          </cell>
          <cell r="N90">
            <v>4000</v>
          </cell>
          <cell r="O90">
            <v>4000</v>
          </cell>
          <cell r="P90">
            <v>0</v>
          </cell>
        </row>
        <row r="91">
          <cell r="B91" t="str">
            <v>Xây dựng tuyến mương tiêu thoát lũ từ cống qua kênh Lam Hồng đến cống qua đường Quốc lộ 1A, xã Xuân Lam</v>
          </cell>
          <cell r="C91" t="str">
            <v>Xã Xuân Lam</v>
          </cell>
          <cell r="D91" t="str">
            <v>Xây dựng tuyến mương tiêu bằng BTCT dài 0,5km, kích thước (bxh)=(1,5x1,5)m</v>
          </cell>
          <cell r="E91">
            <v>2024</v>
          </cell>
          <cell r="F91">
            <v>0</v>
          </cell>
          <cell r="G91" t="str">
            <v>UBND huyện</v>
          </cell>
          <cell r="H91">
            <v>2000</v>
          </cell>
          <cell r="I91">
            <v>0</v>
          </cell>
          <cell r="J91">
            <v>2000</v>
          </cell>
          <cell r="K91">
            <v>0</v>
          </cell>
          <cell r="L91">
            <v>0</v>
          </cell>
          <cell r="M91">
            <v>0</v>
          </cell>
          <cell r="N91">
            <v>2000</v>
          </cell>
          <cell r="O91">
            <v>2000</v>
          </cell>
          <cell r="P91">
            <v>0</v>
          </cell>
        </row>
        <row r="92">
          <cell r="B92" t="str">
            <v>Tuyến mương tiêu trục tiêu 05 đoạn qua Cầu Đồng Vanh đi ra Sông Lam</v>
          </cell>
          <cell r="C92" t="str">
            <v>Xã Xuân Giang</v>
          </cell>
          <cell r="D92" t="str">
            <v>Xây dựng tuyến mương tiêu bằng BTCT dài 1 km, kích thước (bxh)=(1,5x1,5)m</v>
          </cell>
          <cell r="E92">
            <v>2024</v>
          </cell>
          <cell r="F92">
            <v>0</v>
          </cell>
          <cell r="G92" t="str">
            <v>UBND huyện</v>
          </cell>
          <cell r="H92">
            <v>6000</v>
          </cell>
          <cell r="I92">
            <v>0</v>
          </cell>
          <cell r="J92">
            <v>6000</v>
          </cell>
          <cell r="K92">
            <v>0</v>
          </cell>
          <cell r="L92">
            <v>0</v>
          </cell>
          <cell r="M92">
            <v>0</v>
          </cell>
          <cell r="N92">
            <v>6000</v>
          </cell>
          <cell r="O92">
            <v>6000</v>
          </cell>
          <cell r="P92">
            <v>0</v>
          </cell>
        </row>
        <row r="93">
          <cell r="B93" t="str">
            <v>Kiên cố hóa tuyến mương tưới tiêu đồng Đạ thôn Trung Vượng xã Xuân Liên</v>
          </cell>
          <cell r="C93" t="str">
            <v>Xã Xuân Liên</v>
          </cell>
          <cell r="D93" t="str">
            <v>Xây dựng tuyến kênh chính bằng BTCT dài khoảng 2km, kích thước (bxh)=(1,5x1,5)m; Công trình trên kênh bố trí 05 cống và 01 cầu tràn</v>
          </cell>
          <cell r="E93">
            <v>2025</v>
          </cell>
          <cell r="F93">
            <v>0</v>
          </cell>
          <cell r="G93" t="str">
            <v>UBND huyện</v>
          </cell>
          <cell r="H93">
            <v>7000</v>
          </cell>
          <cell r="I93">
            <v>0</v>
          </cell>
          <cell r="J93">
            <v>7000</v>
          </cell>
          <cell r="K93">
            <v>0</v>
          </cell>
          <cell r="L93">
            <v>0</v>
          </cell>
          <cell r="M93">
            <v>0</v>
          </cell>
          <cell r="N93">
            <v>7000</v>
          </cell>
          <cell r="O93">
            <v>7000</v>
          </cell>
          <cell r="P93">
            <v>0</v>
          </cell>
        </row>
      </sheetData>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1 (3)"/>
      <sheetName val="PL1"/>
      <sheetName val="PL2"/>
      <sheetName val="TH"/>
      <sheetName val="Phụ lục 3"/>
      <sheetName val="Phụ lục 4"/>
    </sheetNames>
    <sheetDataSet>
      <sheetData sheetId="0"/>
      <sheetData sheetId="1"/>
      <sheetData sheetId="2"/>
      <sheetData sheetId="3"/>
      <sheetData sheetId="4">
        <row r="12">
          <cell r="M12">
            <v>213070</v>
          </cell>
        </row>
      </sheetData>
      <sheetData sheetId="5"/>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filterMode="1"/>
  <dimension ref="A1:IW369"/>
  <sheetViews>
    <sheetView view="pageBreakPreview" topLeftCell="A7" zoomScale="70" zoomScaleSheetLayoutView="70" workbookViewId="0">
      <pane xSplit="2" ySplit="4" topLeftCell="I11" activePane="bottomRight" state="frozen"/>
      <selection activeCell="A7" sqref="A7"/>
      <selection pane="topRight" activeCell="C7" sqref="C7"/>
      <selection pane="bottomLeft" activeCell="A11" sqref="A11"/>
      <selection pane="bottomRight" activeCell="N21" sqref="N21:N361"/>
    </sheetView>
  </sheetViews>
  <sheetFormatPr defaultColWidth="8.85546875" defaultRowHeight="12.75"/>
  <cols>
    <col min="1" max="1" width="5.5703125" style="241" customWidth="1"/>
    <col min="2" max="2" width="36.140625" style="71" customWidth="1"/>
    <col min="3" max="3" width="12.5703125" style="242" customWidth="1"/>
    <col min="4" max="4" width="17.140625" style="71" customWidth="1"/>
    <col min="5" max="5" width="13" style="71" customWidth="1"/>
    <col min="6" max="6" width="14" style="71" customWidth="1"/>
    <col min="7" max="7" width="13.140625" style="71" customWidth="1"/>
    <col min="8" max="8" width="11.140625" style="71" customWidth="1"/>
    <col min="9" max="9" width="13" style="71" customWidth="1"/>
    <col min="10" max="10" width="12.140625" style="71" customWidth="1"/>
    <col min="11" max="11" width="13.42578125" style="71" customWidth="1"/>
    <col min="12" max="12" width="13" style="71" customWidth="1"/>
    <col min="13" max="13" width="11.5703125" style="71" customWidth="1"/>
    <col min="14" max="14" width="12.42578125" style="71" customWidth="1"/>
    <col min="15" max="15" width="12.140625" style="71" customWidth="1"/>
    <col min="16" max="16" width="9.140625" style="71" customWidth="1"/>
    <col min="17" max="17" width="9.140625" style="201" customWidth="1"/>
    <col min="18" max="19" width="9.42578125" style="201" customWidth="1"/>
    <col min="20" max="20" width="9.140625" style="201" customWidth="1"/>
    <col min="21" max="21" width="9.42578125" style="201" customWidth="1"/>
    <col min="22" max="23" width="9.140625" style="201" customWidth="1"/>
    <col min="24" max="24" width="12.5703125" style="201" customWidth="1"/>
    <col min="25" max="25" width="9.140625" style="201" customWidth="1"/>
    <col min="26" max="26" width="9.140625" style="201"/>
    <col min="27" max="226" width="9.140625" style="71"/>
    <col min="227" max="227" width="5.5703125" style="71" customWidth="1"/>
    <col min="228" max="228" width="27.5703125" style="71" customWidth="1"/>
    <col min="229" max="229" width="9.140625" style="71"/>
    <col min="230" max="230" width="13.5703125" style="71" customWidth="1"/>
    <col min="231" max="231" width="15.42578125" style="71" customWidth="1"/>
    <col min="232" max="232" width="8.42578125" style="71" customWidth="1"/>
    <col min="233" max="233" width="9.42578125" style="71" customWidth="1"/>
    <col min="234" max="234" width="11.140625" style="71" customWidth="1"/>
    <col min="235" max="236" width="12.140625" style="71" customWidth="1"/>
    <col min="237" max="237" width="11.85546875" style="71" customWidth="1"/>
    <col min="238" max="238" width="12" style="71" customWidth="1"/>
    <col min="239" max="239" width="13.42578125" style="71" customWidth="1"/>
    <col min="240" max="240" width="10.5703125" style="71" customWidth="1"/>
    <col min="241" max="241" width="11" style="71" customWidth="1"/>
    <col min="242" max="482" width="9.140625" style="71"/>
    <col min="483" max="483" width="5.5703125" style="71" customWidth="1"/>
    <col min="484" max="484" width="27.5703125" style="71" customWidth="1"/>
    <col min="485" max="485" width="9.140625" style="71"/>
    <col min="486" max="486" width="13.5703125" style="71" customWidth="1"/>
    <col min="487" max="487" width="15.42578125" style="71" customWidth="1"/>
    <col min="488" max="488" width="8.42578125" style="71" customWidth="1"/>
    <col min="489" max="489" width="9.42578125" style="71" customWidth="1"/>
    <col min="490" max="490" width="11.140625" style="71" customWidth="1"/>
    <col min="491" max="492" width="12.140625" style="71" customWidth="1"/>
    <col min="493" max="493" width="11.85546875" style="71" customWidth="1"/>
    <col min="494" max="494" width="12" style="71" customWidth="1"/>
    <col min="495" max="495" width="13.42578125" style="71" customWidth="1"/>
    <col min="496" max="496" width="10.5703125" style="71" customWidth="1"/>
    <col min="497" max="497" width="11" style="71" customWidth="1"/>
    <col min="498" max="738" width="9.140625" style="71"/>
    <col min="739" max="739" width="5.5703125" style="71" customWidth="1"/>
    <col min="740" max="740" width="27.5703125" style="71" customWidth="1"/>
    <col min="741" max="741" width="9.140625" style="71"/>
    <col min="742" max="742" width="13.5703125" style="71" customWidth="1"/>
    <col min="743" max="743" width="15.42578125" style="71" customWidth="1"/>
    <col min="744" max="744" width="8.42578125" style="71" customWidth="1"/>
    <col min="745" max="745" width="9.42578125" style="71" customWidth="1"/>
    <col min="746" max="746" width="11.140625" style="71" customWidth="1"/>
    <col min="747" max="748" width="12.140625" style="71" customWidth="1"/>
    <col min="749" max="749" width="11.85546875" style="71" customWidth="1"/>
    <col min="750" max="750" width="12" style="71" customWidth="1"/>
    <col min="751" max="751" width="13.42578125" style="71" customWidth="1"/>
    <col min="752" max="752" width="10.5703125" style="71" customWidth="1"/>
    <col min="753" max="753" width="11" style="71" customWidth="1"/>
    <col min="754" max="994" width="9.140625" style="71"/>
    <col min="995" max="995" width="5.5703125" style="71" customWidth="1"/>
    <col min="996" max="996" width="27.5703125" style="71" customWidth="1"/>
    <col min="997" max="997" width="9.140625" style="71"/>
    <col min="998" max="998" width="13.5703125" style="71" customWidth="1"/>
    <col min="999" max="999" width="15.42578125" style="71" customWidth="1"/>
    <col min="1000" max="1000" width="8.42578125" style="71" customWidth="1"/>
    <col min="1001" max="1001" width="9.42578125" style="71" customWidth="1"/>
    <col min="1002" max="1002" width="11.140625" style="71" customWidth="1"/>
    <col min="1003" max="1004" width="12.140625" style="71" customWidth="1"/>
    <col min="1005" max="1005" width="11.85546875" style="71" customWidth="1"/>
    <col min="1006" max="1006" width="12" style="71" customWidth="1"/>
    <col min="1007" max="1007" width="13.42578125" style="71" customWidth="1"/>
    <col min="1008" max="1008" width="10.5703125" style="71" customWidth="1"/>
    <col min="1009" max="1009" width="11" style="71" customWidth="1"/>
    <col min="1010" max="1250" width="9.140625" style="71"/>
    <col min="1251" max="1251" width="5.5703125" style="71" customWidth="1"/>
    <col min="1252" max="1252" width="27.5703125" style="71" customWidth="1"/>
    <col min="1253" max="1253" width="9.140625" style="71"/>
    <col min="1254" max="1254" width="13.5703125" style="71" customWidth="1"/>
    <col min="1255" max="1255" width="15.42578125" style="71" customWidth="1"/>
    <col min="1256" max="1256" width="8.42578125" style="71" customWidth="1"/>
    <col min="1257" max="1257" width="9.42578125" style="71" customWidth="1"/>
    <col min="1258" max="1258" width="11.140625" style="71" customWidth="1"/>
    <col min="1259" max="1260" width="12.140625" style="71" customWidth="1"/>
    <col min="1261" max="1261" width="11.85546875" style="71" customWidth="1"/>
    <col min="1262" max="1262" width="12" style="71" customWidth="1"/>
    <col min="1263" max="1263" width="13.42578125" style="71" customWidth="1"/>
    <col min="1264" max="1264" width="10.5703125" style="71" customWidth="1"/>
    <col min="1265" max="1265" width="11" style="71" customWidth="1"/>
    <col min="1266" max="1506" width="9.140625" style="71"/>
    <col min="1507" max="1507" width="5.5703125" style="71" customWidth="1"/>
    <col min="1508" max="1508" width="27.5703125" style="71" customWidth="1"/>
    <col min="1509" max="1509" width="9.140625" style="71"/>
    <col min="1510" max="1510" width="13.5703125" style="71" customWidth="1"/>
    <col min="1511" max="1511" width="15.42578125" style="71" customWidth="1"/>
    <col min="1512" max="1512" width="8.42578125" style="71" customWidth="1"/>
    <col min="1513" max="1513" width="9.42578125" style="71" customWidth="1"/>
    <col min="1514" max="1514" width="11.140625" style="71" customWidth="1"/>
    <col min="1515" max="1516" width="12.140625" style="71" customWidth="1"/>
    <col min="1517" max="1517" width="11.85546875" style="71" customWidth="1"/>
    <col min="1518" max="1518" width="12" style="71" customWidth="1"/>
    <col min="1519" max="1519" width="13.42578125" style="71" customWidth="1"/>
    <col min="1520" max="1520" width="10.5703125" style="71" customWidth="1"/>
    <col min="1521" max="1521" width="11" style="71" customWidth="1"/>
    <col min="1522" max="1762" width="9.140625" style="71"/>
    <col min="1763" max="1763" width="5.5703125" style="71" customWidth="1"/>
    <col min="1764" max="1764" width="27.5703125" style="71" customWidth="1"/>
    <col min="1765" max="1765" width="9.140625" style="71"/>
    <col min="1766" max="1766" width="13.5703125" style="71" customWidth="1"/>
    <col min="1767" max="1767" width="15.42578125" style="71" customWidth="1"/>
    <col min="1768" max="1768" width="8.42578125" style="71" customWidth="1"/>
    <col min="1769" max="1769" width="9.42578125" style="71" customWidth="1"/>
    <col min="1770" max="1770" width="11.140625" style="71" customWidth="1"/>
    <col min="1771" max="1772" width="12.140625" style="71" customWidth="1"/>
    <col min="1773" max="1773" width="11.85546875" style="71" customWidth="1"/>
    <col min="1774" max="1774" width="12" style="71" customWidth="1"/>
    <col min="1775" max="1775" width="13.42578125" style="71" customWidth="1"/>
    <col min="1776" max="1776" width="10.5703125" style="71" customWidth="1"/>
    <col min="1777" max="1777" width="11" style="71" customWidth="1"/>
    <col min="1778" max="2018" width="9.140625" style="71"/>
    <col min="2019" max="2019" width="5.5703125" style="71" customWidth="1"/>
    <col min="2020" max="2020" width="27.5703125" style="71" customWidth="1"/>
    <col min="2021" max="2021" width="9.140625" style="71"/>
    <col min="2022" max="2022" width="13.5703125" style="71" customWidth="1"/>
    <col min="2023" max="2023" width="15.42578125" style="71" customWidth="1"/>
    <col min="2024" max="2024" width="8.42578125" style="71" customWidth="1"/>
    <col min="2025" max="2025" width="9.42578125" style="71" customWidth="1"/>
    <col min="2026" max="2026" width="11.140625" style="71" customWidth="1"/>
    <col min="2027" max="2028" width="12.140625" style="71" customWidth="1"/>
    <col min="2029" max="2029" width="11.85546875" style="71" customWidth="1"/>
    <col min="2030" max="2030" width="12" style="71" customWidth="1"/>
    <col min="2031" max="2031" width="13.42578125" style="71" customWidth="1"/>
    <col min="2032" max="2032" width="10.5703125" style="71" customWidth="1"/>
    <col min="2033" max="2033" width="11" style="71" customWidth="1"/>
    <col min="2034" max="2274" width="9.140625" style="71"/>
    <col min="2275" max="2275" width="5.5703125" style="71" customWidth="1"/>
    <col min="2276" max="2276" width="27.5703125" style="71" customWidth="1"/>
    <col min="2277" max="2277" width="9.140625" style="71"/>
    <col min="2278" max="2278" width="13.5703125" style="71" customWidth="1"/>
    <col min="2279" max="2279" width="15.42578125" style="71" customWidth="1"/>
    <col min="2280" max="2280" width="8.42578125" style="71" customWidth="1"/>
    <col min="2281" max="2281" width="9.42578125" style="71" customWidth="1"/>
    <col min="2282" max="2282" width="11.140625" style="71" customWidth="1"/>
    <col min="2283" max="2284" width="12.140625" style="71" customWidth="1"/>
    <col min="2285" max="2285" width="11.85546875" style="71" customWidth="1"/>
    <col min="2286" max="2286" width="12" style="71" customWidth="1"/>
    <col min="2287" max="2287" width="13.42578125" style="71" customWidth="1"/>
    <col min="2288" max="2288" width="10.5703125" style="71" customWidth="1"/>
    <col min="2289" max="2289" width="11" style="71" customWidth="1"/>
    <col min="2290" max="2530" width="9.140625" style="71"/>
    <col min="2531" max="2531" width="5.5703125" style="71" customWidth="1"/>
    <col min="2532" max="2532" width="27.5703125" style="71" customWidth="1"/>
    <col min="2533" max="2533" width="9.140625" style="71"/>
    <col min="2534" max="2534" width="13.5703125" style="71" customWidth="1"/>
    <col min="2535" max="2535" width="15.42578125" style="71" customWidth="1"/>
    <col min="2536" max="2536" width="8.42578125" style="71" customWidth="1"/>
    <col min="2537" max="2537" width="9.42578125" style="71" customWidth="1"/>
    <col min="2538" max="2538" width="11.140625" style="71" customWidth="1"/>
    <col min="2539" max="2540" width="12.140625" style="71" customWidth="1"/>
    <col min="2541" max="2541" width="11.85546875" style="71" customWidth="1"/>
    <col min="2542" max="2542" width="12" style="71" customWidth="1"/>
    <col min="2543" max="2543" width="13.42578125" style="71" customWidth="1"/>
    <col min="2544" max="2544" width="10.5703125" style="71" customWidth="1"/>
    <col min="2545" max="2545" width="11" style="71" customWidth="1"/>
    <col min="2546" max="2786" width="9.140625" style="71"/>
    <col min="2787" max="2787" width="5.5703125" style="71" customWidth="1"/>
    <col min="2788" max="2788" width="27.5703125" style="71" customWidth="1"/>
    <col min="2789" max="2789" width="9.140625" style="71"/>
    <col min="2790" max="2790" width="13.5703125" style="71" customWidth="1"/>
    <col min="2791" max="2791" width="15.42578125" style="71" customWidth="1"/>
    <col min="2792" max="2792" width="8.42578125" style="71" customWidth="1"/>
    <col min="2793" max="2793" width="9.42578125" style="71" customWidth="1"/>
    <col min="2794" max="2794" width="11.140625" style="71" customWidth="1"/>
    <col min="2795" max="2796" width="12.140625" style="71" customWidth="1"/>
    <col min="2797" max="2797" width="11.85546875" style="71" customWidth="1"/>
    <col min="2798" max="2798" width="12" style="71" customWidth="1"/>
    <col min="2799" max="2799" width="13.42578125" style="71" customWidth="1"/>
    <col min="2800" max="2800" width="10.5703125" style="71" customWidth="1"/>
    <col min="2801" max="2801" width="11" style="71" customWidth="1"/>
    <col min="2802" max="3042" width="9.140625" style="71"/>
    <col min="3043" max="3043" width="5.5703125" style="71" customWidth="1"/>
    <col min="3044" max="3044" width="27.5703125" style="71" customWidth="1"/>
    <col min="3045" max="3045" width="9.140625" style="71"/>
    <col min="3046" max="3046" width="13.5703125" style="71" customWidth="1"/>
    <col min="3047" max="3047" width="15.42578125" style="71" customWidth="1"/>
    <col min="3048" max="3048" width="8.42578125" style="71" customWidth="1"/>
    <col min="3049" max="3049" width="9.42578125" style="71" customWidth="1"/>
    <col min="3050" max="3050" width="11.140625" style="71" customWidth="1"/>
    <col min="3051" max="3052" width="12.140625" style="71" customWidth="1"/>
    <col min="3053" max="3053" width="11.85546875" style="71" customWidth="1"/>
    <col min="3054" max="3054" width="12" style="71" customWidth="1"/>
    <col min="3055" max="3055" width="13.42578125" style="71" customWidth="1"/>
    <col min="3056" max="3056" width="10.5703125" style="71" customWidth="1"/>
    <col min="3057" max="3057" width="11" style="71" customWidth="1"/>
    <col min="3058" max="3298" width="9.140625" style="71"/>
    <col min="3299" max="3299" width="5.5703125" style="71" customWidth="1"/>
    <col min="3300" max="3300" width="27.5703125" style="71" customWidth="1"/>
    <col min="3301" max="3301" width="9.140625" style="71"/>
    <col min="3302" max="3302" width="13.5703125" style="71" customWidth="1"/>
    <col min="3303" max="3303" width="15.42578125" style="71" customWidth="1"/>
    <col min="3304" max="3304" width="8.42578125" style="71" customWidth="1"/>
    <col min="3305" max="3305" width="9.42578125" style="71" customWidth="1"/>
    <col min="3306" max="3306" width="11.140625" style="71" customWidth="1"/>
    <col min="3307" max="3308" width="12.140625" style="71" customWidth="1"/>
    <col min="3309" max="3309" width="11.85546875" style="71" customWidth="1"/>
    <col min="3310" max="3310" width="12" style="71" customWidth="1"/>
    <col min="3311" max="3311" width="13.42578125" style="71" customWidth="1"/>
    <col min="3312" max="3312" width="10.5703125" style="71" customWidth="1"/>
    <col min="3313" max="3313" width="11" style="71" customWidth="1"/>
    <col min="3314" max="3554" width="9.140625" style="71"/>
    <col min="3555" max="3555" width="5.5703125" style="71" customWidth="1"/>
    <col min="3556" max="3556" width="27.5703125" style="71" customWidth="1"/>
    <col min="3557" max="3557" width="9.140625" style="71"/>
    <col min="3558" max="3558" width="13.5703125" style="71" customWidth="1"/>
    <col min="3559" max="3559" width="15.42578125" style="71" customWidth="1"/>
    <col min="3560" max="3560" width="8.42578125" style="71" customWidth="1"/>
    <col min="3561" max="3561" width="9.42578125" style="71" customWidth="1"/>
    <col min="3562" max="3562" width="11.140625" style="71" customWidth="1"/>
    <col min="3563" max="3564" width="12.140625" style="71" customWidth="1"/>
    <col min="3565" max="3565" width="11.85546875" style="71" customWidth="1"/>
    <col min="3566" max="3566" width="12" style="71" customWidth="1"/>
    <col min="3567" max="3567" width="13.42578125" style="71" customWidth="1"/>
    <col min="3568" max="3568" width="10.5703125" style="71" customWidth="1"/>
    <col min="3569" max="3569" width="11" style="71" customWidth="1"/>
    <col min="3570" max="3810" width="9.140625" style="71"/>
    <col min="3811" max="3811" width="5.5703125" style="71" customWidth="1"/>
    <col min="3812" max="3812" width="27.5703125" style="71" customWidth="1"/>
    <col min="3813" max="3813" width="9.140625" style="71"/>
    <col min="3814" max="3814" width="13.5703125" style="71" customWidth="1"/>
    <col min="3815" max="3815" width="15.42578125" style="71" customWidth="1"/>
    <col min="3816" max="3816" width="8.42578125" style="71" customWidth="1"/>
    <col min="3817" max="3817" width="9.42578125" style="71" customWidth="1"/>
    <col min="3818" max="3818" width="11.140625" style="71" customWidth="1"/>
    <col min="3819" max="3820" width="12.140625" style="71" customWidth="1"/>
    <col min="3821" max="3821" width="11.85546875" style="71" customWidth="1"/>
    <col min="3822" max="3822" width="12" style="71" customWidth="1"/>
    <col min="3823" max="3823" width="13.42578125" style="71" customWidth="1"/>
    <col min="3824" max="3824" width="10.5703125" style="71" customWidth="1"/>
    <col min="3825" max="3825" width="11" style="71" customWidth="1"/>
    <col min="3826" max="4066" width="9.140625" style="71"/>
    <col min="4067" max="4067" width="5.5703125" style="71" customWidth="1"/>
    <col min="4068" max="4068" width="27.5703125" style="71" customWidth="1"/>
    <col min="4069" max="4069" width="9.140625" style="71"/>
    <col min="4070" max="4070" width="13.5703125" style="71" customWidth="1"/>
    <col min="4071" max="4071" width="15.42578125" style="71" customWidth="1"/>
    <col min="4072" max="4072" width="8.42578125" style="71" customWidth="1"/>
    <col min="4073" max="4073" width="9.42578125" style="71" customWidth="1"/>
    <col min="4074" max="4074" width="11.140625" style="71" customWidth="1"/>
    <col min="4075" max="4076" width="12.140625" style="71" customWidth="1"/>
    <col min="4077" max="4077" width="11.85546875" style="71" customWidth="1"/>
    <col min="4078" max="4078" width="12" style="71" customWidth="1"/>
    <col min="4079" max="4079" width="13.42578125" style="71" customWidth="1"/>
    <col min="4080" max="4080" width="10.5703125" style="71" customWidth="1"/>
    <col min="4081" max="4081" width="11" style="71" customWidth="1"/>
    <col min="4082" max="4322" width="9.140625" style="71"/>
    <col min="4323" max="4323" width="5.5703125" style="71" customWidth="1"/>
    <col min="4324" max="4324" width="27.5703125" style="71" customWidth="1"/>
    <col min="4325" max="4325" width="9.140625" style="71"/>
    <col min="4326" max="4326" width="13.5703125" style="71" customWidth="1"/>
    <col min="4327" max="4327" width="15.42578125" style="71" customWidth="1"/>
    <col min="4328" max="4328" width="8.42578125" style="71" customWidth="1"/>
    <col min="4329" max="4329" width="9.42578125" style="71" customWidth="1"/>
    <col min="4330" max="4330" width="11.140625" style="71" customWidth="1"/>
    <col min="4331" max="4332" width="12.140625" style="71" customWidth="1"/>
    <col min="4333" max="4333" width="11.85546875" style="71" customWidth="1"/>
    <col min="4334" max="4334" width="12" style="71" customWidth="1"/>
    <col min="4335" max="4335" width="13.42578125" style="71" customWidth="1"/>
    <col min="4336" max="4336" width="10.5703125" style="71" customWidth="1"/>
    <col min="4337" max="4337" width="11" style="71" customWidth="1"/>
    <col min="4338" max="4578" width="9.140625" style="71"/>
    <col min="4579" max="4579" width="5.5703125" style="71" customWidth="1"/>
    <col min="4580" max="4580" width="27.5703125" style="71" customWidth="1"/>
    <col min="4581" max="4581" width="9.140625" style="71"/>
    <col min="4582" max="4582" width="13.5703125" style="71" customWidth="1"/>
    <col min="4583" max="4583" width="15.42578125" style="71" customWidth="1"/>
    <col min="4584" max="4584" width="8.42578125" style="71" customWidth="1"/>
    <col min="4585" max="4585" width="9.42578125" style="71" customWidth="1"/>
    <col min="4586" max="4586" width="11.140625" style="71" customWidth="1"/>
    <col min="4587" max="4588" width="12.140625" style="71" customWidth="1"/>
    <col min="4589" max="4589" width="11.85546875" style="71" customWidth="1"/>
    <col min="4590" max="4590" width="12" style="71" customWidth="1"/>
    <col min="4591" max="4591" width="13.42578125" style="71" customWidth="1"/>
    <col min="4592" max="4592" width="10.5703125" style="71" customWidth="1"/>
    <col min="4593" max="4593" width="11" style="71" customWidth="1"/>
    <col min="4594" max="4834" width="9.140625" style="71"/>
    <col min="4835" max="4835" width="5.5703125" style="71" customWidth="1"/>
    <col min="4836" max="4836" width="27.5703125" style="71" customWidth="1"/>
    <col min="4837" max="4837" width="9.140625" style="71"/>
    <col min="4838" max="4838" width="13.5703125" style="71" customWidth="1"/>
    <col min="4839" max="4839" width="15.42578125" style="71" customWidth="1"/>
    <col min="4840" max="4840" width="8.42578125" style="71" customWidth="1"/>
    <col min="4841" max="4841" width="9.42578125" style="71" customWidth="1"/>
    <col min="4842" max="4842" width="11.140625" style="71" customWidth="1"/>
    <col min="4843" max="4844" width="12.140625" style="71" customWidth="1"/>
    <col min="4845" max="4845" width="11.85546875" style="71" customWidth="1"/>
    <col min="4846" max="4846" width="12" style="71" customWidth="1"/>
    <col min="4847" max="4847" width="13.42578125" style="71" customWidth="1"/>
    <col min="4848" max="4848" width="10.5703125" style="71" customWidth="1"/>
    <col min="4849" max="4849" width="11" style="71" customWidth="1"/>
    <col min="4850" max="5090" width="9.140625" style="71"/>
    <col min="5091" max="5091" width="5.5703125" style="71" customWidth="1"/>
    <col min="5092" max="5092" width="27.5703125" style="71" customWidth="1"/>
    <col min="5093" max="5093" width="9.140625" style="71"/>
    <col min="5094" max="5094" width="13.5703125" style="71" customWidth="1"/>
    <col min="5095" max="5095" width="15.42578125" style="71" customWidth="1"/>
    <col min="5096" max="5096" width="8.42578125" style="71" customWidth="1"/>
    <col min="5097" max="5097" width="9.42578125" style="71" customWidth="1"/>
    <col min="5098" max="5098" width="11.140625" style="71" customWidth="1"/>
    <col min="5099" max="5100" width="12.140625" style="71" customWidth="1"/>
    <col min="5101" max="5101" width="11.85546875" style="71" customWidth="1"/>
    <col min="5102" max="5102" width="12" style="71" customWidth="1"/>
    <col min="5103" max="5103" width="13.42578125" style="71" customWidth="1"/>
    <col min="5104" max="5104" width="10.5703125" style="71" customWidth="1"/>
    <col min="5105" max="5105" width="11" style="71" customWidth="1"/>
    <col min="5106" max="5346" width="9.140625" style="71"/>
    <col min="5347" max="5347" width="5.5703125" style="71" customWidth="1"/>
    <col min="5348" max="5348" width="27.5703125" style="71" customWidth="1"/>
    <col min="5349" max="5349" width="9.140625" style="71"/>
    <col min="5350" max="5350" width="13.5703125" style="71" customWidth="1"/>
    <col min="5351" max="5351" width="15.42578125" style="71" customWidth="1"/>
    <col min="5352" max="5352" width="8.42578125" style="71" customWidth="1"/>
    <col min="5353" max="5353" width="9.42578125" style="71" customWidth="1"/>
    <col min="5354" max="5354" width="11.140625" style="71" customWidth="1"/>
    <col min="5355" max="5356" width="12.140625" style="71" customWidth="1"/>
    <col min="5357" max="5357" width="11.85546875" style="71" customWidth="1"/>
    <col min="5358" max="5358" width="12" style="71" customWidth="1"/>
    <col min="5359" max="5359" width="13.42578125" style="71" customWidth="1"/>
    <col min="5360" max="5360" width="10.5703125" style="71" customWidth="1"/>
    <col min="5361" max="5361" width="11" style="71" customWidth="1"/>
    <col min="5362" max="5602" width="9.140625" style="71"/>
    <col min="5603" max="5603" width="5.5703125" style="71" customWidth="1"/>
    <col min="5604" max="5604" width="27.5703125" style="71" customWidth="1"/>
    <col min="5605" max="5605" width="9.140625" style="71"/>
    <col min="5606" max="5606" width="13.5703125" style="71" customWidth="1"/>
    <col min="5607" max="5607" width="15.42578125" style="71" customWidth="1"/>
    <col min="5608" max="5608" width="8.42578125" style="71" customWidth="1"/>
    <col min="5609" max="5609" width="9.42578125" style="71" customWidth="1"/>
    <col min="5610" max="5610" width="11.140625" style="71" customWidth="1"/>
    <col min="5611" max="5612" width="12.140625" style="71" customWidth="1"/>
    <col min="5613" max="5613" width="11.85546875" style="71" customWidth="1"/>
    <col min="5614" max="5614" width="12" style="71" customWidth="1"/>
    <col min="5615" max="5615" width="13.42578125" style="71" customWidth="1"/>
    <col min="5616" max="5616" width="10.5703125" style="71" customWidth="1"/>
    <col min="5617" max="5617" width="11" style="71" customWidth="1"/>
    <col min="5618" max="5858" width="9.140625" style="71"/>
    <col min="5859" max="5859" width="5.5703125" style="71" customWidth="1"/>
    <col min="5860" max="5860" width="27.5703125" style="71" customWidth="1"/>
    <col min="5861" max="5861" width="9.140625" style="71"/>
    <col min="5862" max="5862" width="13.5703125" style="71" customWidth="1"/>
    <col min="5863" max="5863" width="15.42578125" style="71" customWidth="1"/>
    <col min="5864" max="5864" width="8.42578125" style="71" customWidth="1"/>
    <col min="5865" max="5865" width="9.42578125" style="71" customWidth="1"/>
    <col min="5866" max="5866" width="11.140625" style="71" customWidth="1"/>
    <col min="5867" max="5868" width="12.140625" style="71" customWidth="1"/>
    <col min="5869" max="5869" width="11.85546875" style="71" customWidth="1"/>
    <col min="5870" max="5870" width="12" style="71" customWidth="1"/>
    <col min="5871" max="5871" width="13.42578125" style="71" customWidth="1"/>
    <col min="5872" max="5872" width="10.5703125" style="71" customWidth="1"/>
    <col min="5873" max="5873" width="11" style="71" customWidth="1"/>
    <col min="5874" max="6114" width="9.140625" style="71"/>
    <col min="6115" max="6115" width="5.5703125" style="71" customWidth="1"/>
    <col min="6116" max="6116" width="27.5703125" style="71" customWidth="1"/>
    <col min="6117" max="6117" width="9.140625" style="71"/>
    <col min="6118" max="6118" width="13.5703125" style="71" customWidth="1"/>
    <col min="6119" max="6119" width="15.42578125" style="71" customWidth="1"/>
    <col min="6120" max="6120" width="8.42578125" style="71" customWidth="1"/>
    <col min="6121" max="6121" width="9.42578125" style="71" customWidth="1"/>
    <col min="6122" max="6122" width="11.140625" style="71" customWidth="1"/>
    <col min="6123" max="6124" width="12.140625" style="71" customWidth="1"/>
    <col min="6125" max="6125" width="11.85546875" style="71" customWidth="1"/>
    <col min="6126" max="6126" width="12" style="71" customWidth="1"/>
    <col min="6127" max="6127" width="13.42578125" style="71" customWidth="1"/>
    <col min="6128" max="6128" width="10.5703125" style="71" customWidth="1"/>
    <col min="6129" max="6129" width="11" style="71" customWidth="1"/>
    <col min="6130" max="6370" width="9.140625" style="71"/>
    <col min="6371" max="6371" width="5.5703125" style="71" customWidth="1"/>
    <col min="6372" max="6372" width="27.5703125" style="71" customWidth="1"/>
    <col min="6373" max="6373" width="9.140625" style="71"/>
    <col min="6374" max="6374" width="13.5703125" style="71" customWidth="1"/>
    <col min="6375" max="6375" width="15.42578125" style="71" customWidth="1"/>
    <col min="6376" max="6376" width="8.42578125" style="71" customWidth="1"/>
    <col min="6377" max="6377" width="9.42578125" style="71" customWidth="1"/>
    <col min="6378" max="6378" width="11.140625" style="71" customWidth="1"/>
    <col min="6379" max="6380" width="12.140625" style="71" customWidth="1"/>
    <col min="6381" max="6381" width="11.85546875" style="71" customWidth="1"/>
    <col min="6382" max="6382" width="12" style="71" customWidth="1"/>
    <col min="6383" max="6383" width="13.42578125" style="71" customWidth="1"/>
    <col min="6384" max="6384" width="10.5703125" style="71" customWidth="1"/>
    <col min="6385" max="6385" width="11" style="71" customWidth="1"/>
    <col min="6386" max="6626" width="9.140625" style="71"/>
    <col min="6627" max="6627" width="5.5703125" style="71" customWidth="1"/>
    <col min="6628" max="6628" width="27.5703125" style="71" customWidth="1"/>
    <col min="6629" max="6629" width="9.140625" style="71"/>
    <col min="6630" max="6630" width="13.5703125" style="71" customWidth="1"/>
    <col min="6631" max="6631" width="15.42578125" style="71" customWidth="1"/>
    <col min="6632" max="6632" width="8.42578125" style="71" customWidth="1"/>
    <col min="6633" max="6633" width="9.42578125" style="71" customWidth="1"/>
    <col min="6634" max="6634" width="11.140625" style="71" customWidth="1"/>
    <col min="6635" max="6636" width="12.140625" style="71" customWidth="1"/>
    <col min="6637" max="6637" width="11.85546875" style="71" customWidth="1"/>
    <col min="6638" max="6638" width="12" style="71" customWidth="1"/>
    <col min="6639" max="6639" width="13.42578125" style="71" customWidth="1"/>
    <col min="6640" max="6640" width="10.5703125" style="71" customWidth="1"/>
    <col min="6641" max="6641" width="11" style="71" customWidth="1"/>
    <col min="6642" max="6882" width="9.140625" style="71"/>
    <col min="6883" max="6883" width="5.5703125" style="71" customWidth="1"/>
    <col min="6884" max="6884" width="27.5703125" style="71" customWidth="1"/>
    <col min="6885" max="6885" width="9.140625" style="71"/>
    <col min="6886" max="6886" width="13.5703125" style="71" customWidth="1"/>
    <col min="6887" max="6887" width="15.42578125" style="71" customWidth="1"/>
    <col min="6888" max="6888" width="8.42578125" style="71" customWidth="1"/>
    <col min="6889" max="6889" width="9.42578125" style="71" customWidth="1"/>
    <col min="6890" max="6890" width="11.140625" style="71" customWidth="1"/>
    <col min="6891" max="6892" width="12.140625" style="71" customWidth="1"/>
    <col min="6893" max="6893" width="11.85546875" style="71" customWidth="1"/>
    <col min="6894" max="6894" width="12" style="71" customWidth="1"/>
    <col min="6895" max="6895" width="13.42578125" style="71" customWidth="1"/>
    <col min="6896" max="6896" width="10.5703125" style="71" customWidth="1"/>
    <col min="6897" max="6897" width="11" style="71" customWidth="1"/>
    <col min="6898" max="7138" width="9.140625" style="71"/>
    <col min="7139" max="7139" width="5.5703125" style="71" customWidth="1"/>
    <col min="7140" max="7140" width="27.5703125" style="71" customWidth="1"/>
    <col min="7141" max="7141" width="9.140625" style="71"/>
    <col min="7142" max="7142" width="13.5703125" style="71" customWidth="1"/>
    <col min="7143" max="7143" width="15.42578125" style="71" customWidth="1"/>
    <col min="7144" max="7144" width="8.42578125" style="71" customWidth="1"/>
    <col min="7145" max="7145" width="9.42578125" style="71" customWidth="1"/>
    <col min="7146" max="7146" width="11.140625" style="71" customWidth="1"/>
    <col min="7147" max="7148" width="12.140625" style="71" customWidth="1"/>
    <col min="7149" max="7149" width="11.85546875" style="71" customWidth="1"/>
    <col min="7150" max="7150" width="12" style="71" customWidth="1"/>
    <col min="7151" max="7151" width="13.42578125" style="71" customWidth="1"/>
    <col min="7152" max="7152" width="10.5703125" style="71" customWidth="1"/>
    <col min="7153" max="7153" width="11" style="71" customWidth="1"/>
    <col min="7154" max="7394" width="9.140625" style="71"/>
    <col min="7395" max="7395" width="5.5703125" style="71" customWidth="1"/>
    <col min="7396" max="7396" width="27.5703125" style="71" customWidth="1"/>
    <col min="7397" max="7397" width="9.140625" style="71"/>
    <col min="7398" max="7398" width="13.5703125" style="71" customWidth="1"/>
    <col min="7399" max="7399" width="15.42578125" style="71" customWidth="1"/>
    <col min="7400" max="7400" width="8.42578125" style="71" customWidth="1"/>
    <col min="7401" max="7401" width="9.42578125" style="71" customWidth="1"/>
    <col min="7402" max="7402" width="11.140625" style="71" customWidth="1"/>
    <col min="7403" max="7404" width="12.140625" style="71" customWidth="1"/>
    <col min="7405" max="7405" width="11.85546875" style="71" customWidth="1"/>
    <col min="7406" max="7406" width="12" style="71" customWidth="1"/>
    <col min="7407" max="7407" width="13.42578125" style="71" customWidth="1"/>
    <col min="7408" max="7408" width="10.5703125" style="71" customWidth="1"/>
    <col min="7409" max="7409" width="11" style="71" customWidth="1"/>
    <col min="7410" max="7650" width="9.140625" style="71"/>
    <col min="7651" max="7651" width="5.5703125" style="71" customWidth="1"/>
    <col min="7652" max="7652" width="27.5703125" style="71" customWidth="1"/>
    <col min="7653" max="7653" width="9.140625" style="71"/>
    <col min="7654" max="7654" width="13.5703125" style="71" customWidth="1"/>
    <col min="7655" max="7655" width="15.42578125" style="71" customWidth="1"/>
    <col min="7656" max="7656" width="8.42578125" style="71" customWidth="1"/>
    <col min="7657" max="7657" width="9.42578125" style="71" customWidth="1"/>
    <col min="7658" max="7658" width="11.140625" style="71" customWidth="1"/>
    <col min="7659" max="7660" width="12.140625" style="71" customWidth="1"/>
    <col min="7661" max="7661" width="11.85546875" style="71" customWidth="1"/>
    <col min="7662" max="7662" width="12" style="71" customWidth="1"/>
    <col min="7663" max="7663" width="13.42578125" style="71" customWidth="1"/>
    <col min="7664" max="7664" width="10.5703125" style="71" customWidth="1"/>
    <col min="7665" max="7665" width="11" style="71" customWidth="1"/>
    <col min="7666" max="7906" width="9.140625" style="71"/>
    <col min="7907" max="7907" width="5.5703125" style="71" customWidth="1"/>
    <col min="7908" max="7908" width="27.5703125" style="71" customWidth="1"/>
    <col min="7909" max="7909" width="9.140625" style="71"/>
    <col min="7910" max="7910" width="13.5703125" style="71" customWidth="1"/>
    <col min="7911" max="7911" width="15.42578125" style="71" customWidth="1"/>
    <col min="7912" max="7912" width="8.42578125" style="71" customWidth="1"/>
    <col min="7913" max="7913" width="9.42578125" style="71" customWidth="1"/>
    <col min="7914" max="7914" width="11.140625" style="71" customWidth="1"/>
    <col min="7915" max="7916" width="12.140625" style="71" customWidth="1"/>
    <col min="7917" max="7917" width="11.85546875" style="71" customWidth="1"/>
    <col min="7918" max="7918" width="12" style="71" customWidth="1"/>
    <col min="7919" max="7919" width="13.42578125" style="71" customWidth="1"/>
    <col min="7920" max="7920" width="10.5703125" style="71" customWidth="1"/>
    <col min="7921" max="7921" width="11" style="71" customWidth="1"/>
    <col min="7922" max="8162" width="9.140625" style="71"/>
    <col min="8163" max="8163" width="5.5703125" style="71" customWidth="1"/>
    <col min="8164" max="8164" width="27.5703125" style="71" customWidth="1"/>
    <col min="8165" max="8165" width="9.140625" style="71"/>
    <col min="8166" max="8166" width="13.5703125" style="71" customWidth="1"/>
    <col min="8167" max="8167" width="15.42578125" style="71" customWidth="1"/>
    <col min="8168" max="8168" width="8.42578125" style="71" customWidth="1"/>
    <col min="8169" max="8169" width="9.42578125" style="71" customWidth="1"/>
    <col min="8170" max="8170" width="11.140625" style="71" customWidth="1"/>
    <col min="8171" max="8172" width="12.140625" style="71" customWidth="1"/>
    <col min="8173" max="8173" width="11.85546875" style="71" customWidth="1"/>
    <col min="8174" max="8174" width="12" style="71" customWidth="1"/>
    <col min="8175" max="8175" width="13.42578125" style="71" customWidth="1"/>
    <col min="8176" max="8176" width="10.5703125" style="71" customWidth="1"/>
    <col min="8177" max="8177" width="11" style="71" customWidth="1"/>
    <col min="8178" max="8418" width="9.140625" style="71"/>
    <col min="8419" max="8419" width="5.5703125" style="71" customWidth="1"/>
    <col min="8420" max="8420" width="27.5703125" style="71" customWidth="1"/>
    <col min="8421" max="8421" width="9.140625" style="71"/>
    <col min="8422" max="8422" width="13.5703125" style="71" customWidth="1"/>
    <col min="8423" max="8423" width="15.42578125" style="71" customWidth="1"/>
    <col min="8424" max="8424" width="8.42578125" style="71" customWidth="1"/>
    <col min="8425" max="8425" width="9.42578125" style="71" customWidth="1"/>
    <col min="8426" max="8426" width="11.140625" style="71" customWidth="1"/>
    <col min="8427" max="8428" width="12.140625" style="71" customWidth="1"/>
    <col min="8429" max="8429" width="11.85546875" style="71" customWidth="1"/>
    <col min="8430" max="8430" width="12" style="71" customWidth="1"/>
    <col min="8431" max="8431" width="13.42578125" style="71" customWidth="1"/>
    <col min="8432" max="8432" width="10.5703125" style="71" customWidth="1"/>
    <col min="8433" max="8433" width="11" style="71" customWidth="1"/>
    <col min="8434" max="8674" width="9.140625" style="71"/>
    <col min="8675" max="8675" width="5.5703125" style="71" customWidth="1"/>
    <col min="8676" max="8676" width="27.5703125" style="71" customWidth="1"/>
    <col min="8677" max="8677" width="9.140625" style="71"/>
    <col min="8678" max="8678" width="13.5703125" style="71" customWidth="1"/>
    <col min="8679" max="8679" width="15.42578125" style="71" customWidth="1"/>
    <col min="8680" max="8680" width="8.42578125" style="71" customWidth="1"/>
    <col min="8681" max="8681" width="9.42578125" style="71" customWidth="1"/>
    <col min="8682" max="8682" width="11.140625" style="71" customWidth="1"/>
    <col min="8683" max="8684" width="12.140625" style="71" customWidth="1"/>
    <col min="8685" max="8685" width="11.85546875" style="71" customWidth="1"/>
    <col min="8686" max="8686" width="12" style="71" customWidth="1"/>
    <col min="8687" max="8687" width="13.42578125" style="71" customWidth="1"/>
    <col min="8688" max="8688" width="10.5703125" style="71" customWidth="1"/>
    <col min="8689" max="8689" width="11" style="71" customWidth="1"/>
    <col min="8690" max="8930" width="9.140625" style="71"/>
    <col min="8931" max="8931" width="5.5703125" style="71" customWidth="1"/>
    <col min="8932" max="8932" width="27.5703125" style="71" customWidth="1"/>
    <col min="8933" max="8933" width="9.140625" style="71"/>
    <col min="8934" max="8934" width="13.5703125" style="71" customWidth="1"/>
    <col min="8935" max="8935" width="15.42578125" style="71" customWidth="1"/>
    <col min="8936" max="8936" width="8.42578125" style="71" customWidth="1"/>
    <col min="8937" max="8937" width="9.42578125" style="71" customWidth="1"/>
    <col min="8938" max="8938" width="11.140625" style="71" customWidth="1"/>
    <col min="8939" max="8940" width="12.140625" style="71" customWidth="1"/>
    <col min="8941" max="8941" width="11.85546875" style="71" customWidth="1"/>
    <col min="8942" max="8942" width="12" style="71" customWidth="1"/>
    <col min="8943" max="8943" width="13.42578125" style="71" customWidth="1"/>
    <col min="8944" max="8944" width="10.5703125" style="71" customWidth="1"/>
    <col min="8945" max="8945" width="11" style="71" customWidth="1"/>
    <col min="8946" max="9186" width="9.140625" style="71"/>
    <col min="9187" max="9187" width="5.5703125" style="71" customWidth="1"/>
    <col min="9188" max="9188" width="27.5703125" style="71" customWidth="1"/>
    <col min="9189" max="9189" width="9.140625" style="71"/>
    <col min="9190" max="9190" width="13.5703125" style="71" customWidth="1"/>
    <col min="9191" max="9191" width="15.42578125" style="71" customWidth="1"/>
    <col min="9192" max="9192" width="8.42578125" style="71" customWidth="1"/>
    <col min="9193" max="9193" width="9.42578125" style="71" customWidth="1"/>
    <col min="9194" max="9194" width="11.140625" style="71" customWidth="1"/>
    <col min="9195" max="9196" width="12.140625" style="71" customWidth="1"/>
    <col min="9197" max="9197" width="11.85546875" style="71" customWidth="1"/>
    <col min="9198" max="9198" width="12" style="71" customWidth="1"/>
    <col min="9199" max="9199" width="13.42578125" style="71" customWidth="1"/>
    <col min="9200" max="9200" width="10.5703125" style="71" customWidth="1"/>
    <col min="9201" max="9201" width="11" style="71" customWidth="1"/>
    <col min="9202" max="9442" width="9.140625" style="71"/>
    <col min="9443" max="9443" width="5.5703125" style="71" customWidth="1"/>
    <col min="9444" max="9444" width="27.5703125" style="71" customWidth="1"/>
    <col min="9445" max="9445" width="9.140625" style="71"/>
    <col min="9446" max="9446" width="13.5703125" style="71" customWidth="1"/>
    <col min="9447" max="9447" width="15.42578125" style="71" customWidth="1"/>
    <col min="9448" max="9448" width="8.42578125" style="71" customWidth="1"/>
    <col min="9449" max="9449" width="9.42578125" style="71" customWidth="1"/>
    <col min="9450" max="9450" width="11.140625" style="71" customWidth="1"/>
    <col min="9451" max="9452" width="12.140625" style="71" customWidth="1"/>
    <col min="9453" max="9453" width="11.85546875" style="71" customWidth="1"/>
    <col min="9454" max="9454" width="12" style="71" customWidth="1"/>
    <col min="9455" max="9455" width="13.42578125" style="71" customWidth="1"/>
    <col min="9456" max="9456" width="10.5703125" style="71" customWidth="1"/>
    <col min="9457" max="9457" width="11" style="71" customWidth="1"/>
    <col min="9458" max="9698" width="9.140625" style="71"/>
    <col min="9699" max="9699" width="5.5703125" style="71" customWidth="1"/>
    <col min="9700" max="9700" width="27.5703125" style="71" customWidth="1"/>
    <col min="9701" max="9701" width="9.140625" style="71"/>
    <col min="9702" max="9702" width="13.5703125" style="71" customWidth="1"/>
    <col min="9703" max="9703" width="15.42578125" style="71" customWidth="1"/>
    <col min="9704" max="9704" width="8.42578125" style="71" customWidth="1"/>
    <col min="9705" max="9705" width="9.42578125" style="71" customWidth="1"/>
    <col min="9706" max="9706" width="11.140625" style="71" customWidth="1"/>
    <col min="9707" max="9708" width="12.140625" style="71" customWidth="1"/>
    <col min="9709" max="9709" width="11.85546875" style="71" customWidth="1"/>
    <col min="9710" max="9710" width="12" style="71" customWidth="1"/>
    <col min="9711" max="9711" width="13.42578125" style="71" customWidth="1"/>
    <col min="9712" max="9712" width="10.5703125" style="71" customWidth="1"/>
    <col min="9713" max="9713" width="11" style="71" customWidth="1"/>
    <col min="9714" max="9954" width="9.140625" style="71"/>
    <col min="9955" max="9955" width="5.5703125" style="71" customWidth="1"/>
    <col min="9956" max="9956" width="27.5703125" style="71" customWidth="1"/>
    <col min="9957" max="9957" width="9.140625" style="71"/>
    <col min="9958" max="9958" width="13.5703125" style="71" customWidth="1"/>
    <col min="9959" max="9959" width="15.42578125" style="71" customWidth="1"/>
    <col min="9960" max="9960" width="8.42578125" style="71" customWidth="1"/>
    <col min="9961" max="9961" width="9.42578125" style="71" customWidth="1"/>
    <col min="9962" max="9962" width="11.140625" style="71" customWidth="1"/>
    <col min="9963" max="9964" width="12.140625" style="71" customWidth="1"/>
    <col min="9965" max="9965" width="11.85546875" style="71" customWidth="1"/>
    <col min="9966" max="9966" width="12" style="71" customWidth="1"/>
    <col min="9967" max="9967" width="13.42578125" style="71" customWidth="1"/>
    <col min="9968" max="9968" width="10.5703125" style="71" customWidth="1"/>
    <col min="9969" max="9969" width="11" style="71" customWidth="1"/>
    <col min="9970" max="10210" width="9.140625" style="71"/>
    <col min="10211" max="10211" width="5.5703125" style="71" customWidth="1"/>
    <col min="10212" max="10212" width="27.5703125" style="71" customWidth="1"/>
    <col min="10213" max="10213" width="9.140625" style="71"/>
    <col min="10214" max="10214" width="13.5703125" style="71" customWidth="1"/>
    <col min="10215" max="10215" width="15.42578125" style="71" customWidth="1"/>
    <col min="10216" max="10216" width="8.42578125" style="71" customWidth="1"/>
    <col min="10217" max="10217" width="9.42578125" style="71" customWidth="1"/>
    <col min="10218" max="10218" width="11.140625" style="71" customWidth="1"/>
    <col min="10219" max="10220" width="12.140625" style="71" customWidth="1"/>
    <col min="10221" max="10221" width="11.85546875" style="71" customWidth="1"/>
    <col min="10222" max="10222" width="12" style="71" customWidth="1"/>
    <col min="10223" max="10223" width="13.42578125" style="71" customWidth="1"/>
    <col min="10224" max="10224" width="10.5703125" style="71" customWidth="1"/>
    <col min="10225" max="10225" width="11" style="71" customWidth="1"/>
    <col min="10226" max="10466" width="9.140625" style="71"/>
    <col min="10467" max="10467" width="5.5703125" style="71" customWidth="1"/>
    <col min="10468" max="10468" width="27.5703125" style="71" customWidth="1"/>
    <col min="10469" max="10469" width="9.140625" style="71"/>
    <col min="10470" max="10470" width="13.5703125" style="71" customWidth="1"/>
    <col min="10471" max="10471" width="15.42578125" style="71" customWidth="1"/>
    <col min="10472" max="10472" width="8.42578125" style="71" customWidth="1"/>
    <col min="10473" max="10473" width="9.42578125" style="71" customWidth="1"/>
    <col min="10474" max="10474" width="11.140625" style="71" customWidth="1"/>
    <col min="10475" max="10476" width="12.140625" style="71" customWidth="1"/>
    <col min="10477" max="10477" width="11.85546875" style="71" customWidth="1"/>
    <col min="10478" max="10478" width="12" style="71" customWidth="1"/>
    <col min="10479" max="10479" width="13.42578125" style="71" customWidth="1"/>
    <col min="10480" max="10480" width="10.5703125" style="71" customWidth="1"/>
    <col min="10481" max="10481" width="11" style="71" customWidth="1"/>
    <col min="10482" max="10722" width="9.140625" style="71"/>
    <col min="10723" max="10723" width="5.5703125" style="71" customWidth="1"/>
    <col min="10724" max="10724" width="27.5703125" style="71" customWidth="1"/>
    <col min="10725" max="10725" width="9.140625" style="71"/>
    <col min="10726" max="10726" width="13.5703125" style="71" customWidth="1"/>
    <col min="10727" max="10727" width="15.42578125" style="71" customWidth="1"/>
    <col min="10728" max="10728" width="8.42578125" style="71" customWidth="1"/>
    <col min="10729" max="10729" width="9.42578125" style="71" customWidth="1"/>
    <col min="10730" max="10730" width="11.140625" style="71" customWidth="1"/>
    <col min="10731" max="10732" width="12.140625" style="71" customWidth="1"/>
    <col min="10733" max="10733" width="11.85546875" style="71" customWidth="1"/>
    <col min="10734" max="10734" width="12" style="71" customWidth="1"/>
    <col min="10735" max="10735" width="13.42578125" style="71" customWidth="1"/>
    <col min="10736" max="10736" width="10.5703125" style="71" customWidth="1"/>
    <col min="10737" max="10737" width="11" style="71" customWidth="1"/>
    <col min="10738" max="10978" width="9.140625" style="71"/>
    <col min="10979" max="10979" width="5.5703125" style="71" customWidth="1"/>
    <col min="10980" max="10980" width="27.5703125" style="71" customWidth="1"/>
    <col min="10981" max="10981" width="9.140625" style="71"/>
    <col min="10982" max="10982" width="13.5703125" style="71" customWidth="1"/>
    <col min="10983" max="10983" width="15.42578125" style="71" customWidth="1"/>
    <col min="10984" max="10984" width="8.42578125" style="71" customWidth="1"/>
    <col min="10985" max="10985" width="9.42578125" style="71" customWidth="1"/>
    <col min="10986" max="10986" width="11.140625" style="71" customWidth="1"/>
    <col min="10987" max="10988" width="12.140625" style="71" customWidth="1"/>
    <col min="10989" max="10989" width="11.85546875" style="71" customWidth="1"/>
    <col min="10990" max="10990" width="12" style="71" customWidth="1"/>
    <col min="10991" max="10991" width="13.42578125" style="71" customWidth="1"/>
    <col min="10992" max="10992" width="10.5703125" style="71" customWidth="1"/>
    <col min="10993" max="10993" width="11" style="71" customWidth="1"/>
    <col min="10994" max="11234" width="9.140625" style="71"/>
    <col min="11235" max="11235" width="5.5703125" style="71" customWidth="1"/>
    <col min="11236" max="11236" width="27.5703125" style="71" customWidth="1"/>
    <col min="11237" max="11237" width="9.140625" style="71"/>
    <col min="11238" max="11238" width="13.5703125" style="71" customWidth="1"/>
    <col min="11239" max="11239" width="15.42578125" style="71" customWidth="1"/>
    <col min="11240" max="11240" width="8.42578125" style="71" customWidth="1"/>
    <col min="11241" max="11241" width="9.42578125" style="71" customWidth="1"/>
    <col min="11242" max="11242" width="11.140625" style="71" customWidth="1"/>
    <col min="11243" max="11244" width="12.140625" style="71" customWidth="1"/>
    <col min="11245" max="11245" width="11.85546875" style="71" customWidth="1"/>
    <col min="11246" max="11246" width="12" style="71" customWidth="1"/>
    <col min="11247" max="11247" width="13.42578125" style="71" customWidth="1"/>
    <col min="11248" max="11248" width="10.5703125" style="71" customWidth="1"/>
    <col min="11249" max="11249" width="11" style="71" customWidth="1"/>
    <col min="11250" max="11490" width="9.140625" style="71"/>
    <col min="11491" max="11491" width="5.5703125" style="71" customWidth="1"/>
    <col min="11492" max="11492" width="27.5703125" style="71" customWidth="1"/>
    <col min="11493" max="11493" width="9.140625" style="71"/>
    <col min="11494" max="11494" width="13.5703125" style="71" customWidth="1"/>
    <col min="11495" max="11495" width="15.42578125" style="71" customWidth="1"/>
    <col min="11496" max="11496" width="8.42578125" style="71" customWidth="1"/>
    <col min="11497" max="11497" width="9.42578125" style="71" customWidth="1"/>
    <col min="11498" max="11498" width="11.140625" style="71" customWidth="1"/>
    <col min="11499" max="11500" width="12.140625" style="71" customWidth="1"/>
    <col min="11501" max="11501" width="11.85546875" style="71" customWidth="1"/>
    <col min="11502" max="11502" width="12" style="71" customWidth="1"/>
    <col min="11503" max="11503" width="13.42578125" style="71" customWidth="1"/>
    <col min="11504" max="11504" width="10.5703125" style="71" customWidth="1"/>
    <col min="11505" max="11505" width="11" style="71" customWidth="1"/>
    <col min="11506" max="11746" width="9.140625" style="71"/>
    <col min="11747" max="11747" width="5.5703125" style="71" customWidth="1"/>
    <col min="11748" max="11748" width="27.5703125" style="71" customWidth="1"/>
    <col min="11749" max="11749" width="9.140625" style="71"/>
    <col min="11750" max="11750" width="13.5703125" style="71" customWidth="1"/>
    <col min="11751" max="11751" width="15.42578125" style="71" customWidth="1"/>
    <col min="11752" max="11752" width="8.42578125" style="71" customWidth="1"/>
    <col min="11753" max="11753" width="9.42578125" style="71" customWidth="1"/>
    <col min="11754" max="11754" width="11.140625" style="71" customWidth="1"/>
    <col min="11755" max="11756" width="12.140625" style="71" customWidth="1"/>
    <col min="11757" max="11757" width="11.85546875" style="71" customWidth="1"/>
    <col min="11758" max="11758" width="12" style="71" customWidth="1"/>
    <col min="11759" max="11759" width="13.42578125" style="71" customWidth="1"/>
    <col min="11760" max="11760" width="10.5703125" style="71" customWidth="1"/>
    <col min="11761" max="11761" width="11" style="71" customWidth="1"/>
    <col min="11762" max="12002" width="9.140625" style="71"/>
    <col min="12003" max="12003" width="5.5703125" style="71" customWidth="1"/>
    <col min="12004" max="12004" width="27.5703125" style="71" customWidth="1"/>
    <col min="12005" max="12005" width="9.140625" style="71"/>
    <col min="12006" max="12006" width="13.5703125" style="71" customWidth="1"/>
    <col min="12007" max="12007" width="15.42578125" style="71" customWidth="1"/>
    <col min="12008" max="12008" width="8.42578125" style="71" customWidth="1"/>
    <col min="12009" max="12009" width="9.42578125" style="71" customWidth="1"/>
    <col min="12010" max="12010" width="11.140625" style="71" customWidth="1"/>
    <col min="12011" max="12012" width="12.140625" style="71" customWidth="1"/>
    <col min="12013" max="12013" width="11.85546875" style="71" customWidth="1"/>
    <col min="12014" max="12014" width="12" style="71" customWidth="1"/>
    <col min="12015" max="12015" width="13.42578125" style="71" customWidth="1"/>
    <col min="12016" max="12016" width="10.5703125" style="71" customWidth="1"/>
    <col min="12017" max="12017" width="11" style="71" customWidth="1"/>
    <col min="12018" max="12258" width="9.140625" style="71"/>
    <col min="12259" max="12259" width="5.5703125" style="71" customWidth="1"/>
    <col min="12260" max="12260" width="27.5703125" style="71" customWidth="1"/>
    <col min="12261" max="12261" width="9.140625" style="71"/>
    <col min="12262" max="12262" width="13.5703125" style="71" customWidth="1"/>
    <col min="12263" max="12263" width="15.42578125" style="71" customWidth="1"/>
    <col min="12264" max="12264" width="8.42578125" style="71" customWidth="1"/>
    <col min="12265" max="12265" width="9.42578125" style="71" customWidth="1"/>
    <col min="12266" max="12266" width="11.140625" style="71" customWidth="1"/>
    <col min="12267" max="12268" width="12.140625" style="71" customWidth="1"/>
    <col min="12269" max="12269" width="11.85546875" style="71" customWidth="1"/>
    <col min="12270" max="12270" width="12" style="71" customWidth="1"/>
    <col min="12271" max="12271" width="13.42578125" style="71" customWidth="1"/>
    <col min="12272" max="12272" width="10.5703125" style="71" customWidth="1"/>
    <col min="12273" max="12273" width="11" style="71" customWidth="1"/>
    <col min="12274" max="12514" width="9.140625" style="71"/>
    <col min="12515" max="12515" width="5.5703125" style="71" customWidth="1"/>
    <col min="12516" max="12516" width="27.5703125" style="71" customWidth="1"/>
    <col min="12517" max="12517" width="9.140625" style="71"/>
    <col min="12518" max="12518" width="13.5703125" style="71" customWidth="1"/>
    <col min="12519" max="12519" width="15.42578125" style="71" customWidth="1"/>
    <col min="12520" max="12520" width="8.42578125" style="71" customWidth="1"/>
    <col min="12521" max="12521" width="9.42578125" style="71" customWidth="1"/>
    <col min="12522" max="12522" width="11.140625" style="71" customWidth="1"/>
    <col min="12523" max="12524" width="12.140625" style="71" customWidth="1"/>
    <col min="12525" max="12525" width="11.85546875" style="71" customWidth="1"/>
    <col min="12526" max="12526" width="12" style="71" customWidth="1"/>
    <col min="12527" max="12527" width="13.42578125" style="71" customWidth="1"/>
    <col min="12528" max="12528" width="10.5703125" style="71" customWidth="1"/>
    <col min="12529" max="12529" width="11" style="71" customWidth="1"/>
    <col min="12530" max="12770" width="9.140625" style="71"/>
    <col min="12771" max="12771" width="5.5703125" style="71" customWidth="1"/>
    <col min="12772" max="12772" width="27.5703125" style="71" customWidth="1"/>
    <col min="12773" max="12773" width="9.140625" style="71"/>
    <col min="12774" max="12774" width="13.5703125" style="71" customWidth="1"/>
    <col min="12775" max="12775" width="15.42578125" style="71" customWidth="1"/>
    <col min="12776" max="12776" width="8.42578125" style="71" customWidth="1"/>
    <col min="12777" max="12777" width="9.42578125" style="71" customWidth="1"/>
    <col min="12778" max="12778" width="11.140625" style="71" customWidth="1"/>
    <col min="12779" max="12780" width="12.140625" style="71" customWidth="1"/>
    <col min="12781" max="12781" width="11.85546875" style="71" customWidth="1"/>
    <col min="12782" max="12782" width="12" style="71" customWidth="1"/>
    <col min="12783" max="12783" width="13.42578125" style="71" customWidth="1"/>
    <col min="12784" max="12784" width="10.5703125" style="71" customWidth="1"/>
    <col min="12785" max="12785" width="11" style="71" customWidth="1"/>
    <col min="12786" max="13026" width="9.140625" style="71"/>
    <col min="13027" max="13027" width="5.5703125" style="71" customWidth="1"/>
    <col min="13028" max="13028" width="27.5703125" style="71" customWidth="1"/>
    <col min="13029" max="13029" width="9.140625" style="71"/>
    <col min="13030" max="13030" width="13.5703125" style="71" customWidth="1"/>
    <col min="13031" max="13031" width="15.42578125" style="71" customWidth="1"/>
    <col min="13032" max="13032" width="8.42578125" style="71" customWidth="1"/>
    <col min="13033" max="13033" width="9.42578125" style="71" customWidth="1"/>
    <col min="13034" max="13034" width="11.140625" style="71" customWidth="1"/>
    <col min="13035" max="13036" width="12.140625" style="71" customWidth="1"/>
    <col min="13037" max="13037" width="11.85546875" style="71" customWidth="1"/>
    <col min="13038" max="13038" width="12" style="71" customWidth="1"/>
    <col min="13039" max="13039" width="13.42578125" style="71" customWidth="1"/>
    <col min="13040" max="13040" width="10.5703125" style="71" customWidth="1"/>
    <col min="13041" max="13041" width="11" style="71" customWidth="1"/>
    <col min="13042" max="13282" width="9.140625" style="71"/>
    <col min="13283" max="13283" width="5.5703125" style="71" customWidth="1"/>
    <col min="13284" max="13284" width="27.5703125" style="71" customWidth="1"/>
    <col min="13285" max="13285" width="9.140625" style="71"/>
    <col min="13286" max="13286" width="13.5703125" style="71" customWidth="1"/>
    <col min="13287" max="13287" width="15.42578125" style="71" customWidth="1"/>
    <col min="13288" max="13288" width="8.42578125" style="71" customWidth="1"/>
    <col min="13289" max="13289" width="9.42578125" style="71" customWidth="1"/>
    <col min="13290" max="13290" width="11.140625" style="71" customWidth="1"/>
    <col min="13291" max="13292" width="12.140625" style="71" customWidth="1"/>
    <col min="13293" max="13293" width="11.85546875" style="71" customWidth="1"/>
    <col min="13294" max="13294" width="12" style="71" customWidth="1"/>
    <col min="13295" max="13295" width="13.42578125" style="71" customWidth="1"/>
    <col min="13296" max="13296" width="10.5703125" style="71" customWidth="1"/>
    <col min="13297" max="13297" width="11" style="71" customWidth="1"/>
    <col min="13298" max="13538" width="9.140625" style="71"/>
    <col min="13539" max="13539" width="5.5703125" style="71" customWidth="1"/>
    <col min="13540" max="13540" width="27.5703125" style="71" customWidth="1"/>
    <col min="13541" max="13541" width="9.140625" style="71"/>
    <col min="13542" max="13542" width="13.5703125" style="71" customWidth="1"/>
    <col min="13543" max="13543" width="15.42578125" style="71" customWidth="1"/>
    <col min="13544" max="13544" width="8.42578125" style="71" customWidth="1"/>
    <col min="13545" max="13545" width="9.42578125" style="71" customWidth="1"/>
    <col min="13546" max="13546" width="11.140625" style="71" customWidth="1"/>
    <col min="13547" max="13548" width="12.140625" style="71" customWidth="1"/>
    <col min="13549" max="13549" width="11.85546875" style="71" customWidth="1"/>
    <col min="13550" max="13550" width="12" style="71" customWidth="1"/>
    <col min="13551" max="13551" width="13.42578125" style="71" customWidth="1"/>
    <col min="13552" max="13552" width="10.5703125" style="71" customWidth="1"/>
    <col min="13553" max="13553" width="11" style="71" customWidth="1"/>
    <col min="13554" max="13794" width="9.140625" style="71"/>
    <col min="13795" max="13795" width="5.5703125" style="71" customWidth="1"/>
    <col min="13796" max="13796" width="27.5703125" style="71" customWidth="1"/>
    <col min="13797" max="13797" width="9.140625" style="71"/>
    <col min="13798" max="13798" width="13.5703125" style="71" customWidth="1"/>
    <col min="13799" max="13799" width="15.42578125" style="71" customWidth="1"/>
    <col min="13800" max="13800" width="8.42578125" style="71" customWidth="1"/>
    <col min="13801" max="13801" width="9.42578125" style="71" customWidth="1"/>
    <col min="13802" max="13802" width="11.140625" style="71" customWidth="1"/>
    <col min="13803" max="13804" width="12.140625" style="71" customWidth="1"/>
    <col min="13805" max="13805" width="11.85546875" style="71" customWidth="1"/>
    <col min="13806" max="13806" width="12" style="71" customWidth="1"/>
    <col min="13807" max="13807" width="13.42578125" style="71" customWidth="1"/>
    <col min="13808" max="13808" width="10.5703125" style="71" customWidth="1"/>
    <col min="13809" max="13809" width="11" style="71" customWidth="1"/>
    <col min="13810" max="14050" width="9.140625" style="71"/>
    <col min="14051" max="14051" width="5.5703125" style="71" customWidth="1"/>
    <col min="14052" max="14052" width="27.5703125" style="71" customWidth="1"/>
    <col min="14053" max="14053" width="9.140625" style="71"/>
    <col min="14054" max="14054" width="13.5703125" style="71" customWidth="1"/>
    <col min="14055" max="14055" width="15.42578125" style="71" customWidth="1"/>
    <col min="14056" max="14056" width="8.42578125" style="71" customWidth="1"/>
    <col min="14057" max="14057" width="9.42578125" style="71" customWidth="1"/>
    <col min="14058" max="14058" width="11.140625" style="71" customWidth="1"/>
    <col min="14059" max="14060" width="12.140625" style="71" customWidth="1"/>
    <col min="14061" max="14061" width="11.85546875" style="71" customWidth="1"/>
    <col min="14062" max="14062" width="12" style="71" customWidth="1"/>
    <col min="14063" max="14063" width="13.42578125" style="71" customWidth="1"/>
    <col min="14064" max="14064" width="10.5703125" style="71" customWidth="1"/>
    <col min="14065" max="14065" width="11" style="71" customWidth="1"/>
    <col min="14066" max="14306" width="9.140625" style="71"/>
    <col min="14307" max="14307" width="5.5703125" style="71" customWidth="1"/>
    <col min="14308" max="14308" width="27.5703125" style="71" customWidth="1"/>
    <col min="14309" max="14309" width="9.140625" style="71"/>
    <col min="14310" max="14310" width="13.5703125" style="71" customWidth="1"/>
    <col min="14311" max="14311" width="15.42578125" style="71" customWidth="1"/>
    <col min="14312" max="14312" width="8.42578125" style="71" customWidth="1"/>
    <col min="14313" max="14313" width="9.42578125" style="71" customWidth="1"/>
    <col min="14314" max="14314" width="11.140625" style="71" customWidth="1"/>
    <col min="14315" max="14316" width="12.140625" style="71" customWidth="1"/>
    <col min="14317" max="14317" width="11.85546875" style="71" customWidth="1"/>
    <col min="14318" max="14318" width="12" style="71" customWidth="1"/>
    <col min="14319" max="14319" width="13.42578125" style="71" customWidth="1"/>
    <col min="14320" max="14320" width="10.5703125" style="71" customWidth="1"/>
    <col min="14321" max="14321" width="11" style="71" customWidth="1"/>
    <col min="14322" max="14562" width="9.140625" style="71"/>
    <col min="14563" max="14563" width="5.5703125" style="71" customWidth="1"/>
    <col min="14564" max="14564" width="27.5703125" style="71" customWidth="1"/>
    <col min="14565" max="14565" width="9.140625" style="71"/>
    <col min="14566" max="14566" width="13.5703125" style="71" customWidth="1"/>
    <col min="14567" max="14567" width="15.42578125" style="71" customWidth="1"/>
    <col min="14568" max="14568" width="8.42578125" style="71" customWidth="1"/>
    <col min="14569" max="14569" width="9.42578125" style="71" customWidth="1"/>
    <col min="14570" max="14570" width="11.140625" style="71" customWidth="1"/>
    <col min="14571" max="14572" width="12.140625" style="71" customWidth="1"/>
    <col min="14573" max="14573" width="11.85546875" style="71" customWidth="1"/>
    <col min="14574" max="14574" width="12" style="71" customWidth="1"/>
    <col min="14575" max="14575" width="13.42578125" style="71" customWidth="1"/>
    <col min="14576" max="14576" width="10.5703125" style="71" customWidth="1"/>
    <col min="14577" max="14577" width="11" style="71" customWidth="1"/>
    <col min="14578" max="14818" width="9.140625" style="71"/>
    <col min="14819" max="14819" width="5.5703125" style="71" customWidth="1"/>
    <col min="14820" max="14820" width="27.5703125" style="71" customWidth="1"/>
    <col min="14821" max="14821" width="9.140625" style="71"/>
    <col min="14822" max="14822" width="13.5703125" style="71" customWidth="1"/>
    <col min="14823" max="14823" width="15.42578125" style="71" customWidth="1"/>
    <col min="14824" max="14824" width="8.42578125" style="71" customWidth="1"/>
    <col min="14825" max="14825" width="9.42578125" style="71" customWidth="1"/>
    <col min="14826" max="14826" width="11.140625" style="71" customWidth="1"/>
    <col min="14827" max="14828" width="12.140625" style="71" customWidth="1"/>
    <col min="14829" max="14829" width="11.85546875" style="71" customWidth="1"/>
    <col min="14830" max="14830" width="12" style="71" customWidth="1"/>
    <col min="14831" max="14831" width="13.42578125" style="71" customWidth="1"/>
    <col min="14832" max="14832" width="10.5703125" style="71" customWidth="1"/>
    <col min="14833" max="14833" width="11" style="71" customWidth="1"/>
    <col min="14834" max="15074" width="9.140625" style="71"/>
    <col min="15075" max="15075" width="5.5703125" style="71" customWidth="1"/>
    <col min="15076" max="15076" width="27.5703125" style="71" customWidth="1"/>
    <col min="15077" max="15077" width="9.140625" style="71"/>
    <col min="15078" max="15078" width="13.5703125" style="71" customWidth="1"/>
    <col min="15079" max="15079" width="15.42578125" style="71" customWidth="1"/>
    <col min="15080" max="15080" width="8.42578125" style="71" customWidth="1"/>
    <col min="15081" max="15081" width="9.42578125" style="71" customWidth="1"/>
    <col min="15082" max="15082" width="11.140625" style="71" customWidth="1"/>
    <col min="15083" max="15084" width="12.140625" style="71" customWidth="1"/>
    <col min="15085" max="15085" width="11.85546875" style="71" customWidth="1"/>
    <col min="15086" max="15086" width="12" style="71" customWidth="1"/>
    <col min="15087" max="15087" width="13.42578125" style="71" customWidth="1"/>
    <col min="15088" max="15088" width="10.5703125" style="71" customWidth="1"/>
    <col min="15089" max="15089" width="11" style="71" customWidth="1"/>
    <col min="15090" max="15330" width="9.140625" style="71"/>
    <col min="15331" max="15331" width="5.5703125" style="71" customWidth="1"/>
    <col min="15332" max="15332" width="27.5703125" style="71" customWidth="1"/>
    <col min="15333" max="15333" width="9.140625" style="71"/>
    <col min="15334" max="15334" width="13.5703125" style="71" customWidth="1"/>
    <col min="15335" max="15335" width="15.42578125" style="71" customWidth="1"/>
    <col min="15336" max="15336" width="8.42578125" style="71" customWidth="1"/>
    <col min="15337" max="15337" width="9.42578125" style="71" customWidth="1"/>
    <col min="15338" max="15338" width="11.140625" style="71" customWidth="1"/>
    <col min="15339" max="15340" width="12.140625" style="71" customWidth="1"/>
    <col min="15341" max="15341" width="11.85546875" style="71" customWidth="1"/>
    <col min="15342" max="15342" width="12" style="71" customWidth="1"/>
    <col min="15343" max="15343" width="13.42578125" style="71" customWidth="1"/>
    <col min="15344" max="15344" width="10.5703125" style="71" customWidth="1"/>
    <col min="15345" max="15345" width="11" style="71" customWidth="1"/>
    <col min="15346" max="15586" width="9.140625" style="71"/>
    <col min="15587" max="15587" width="5.5703125" style="71" customWidth="1"/>
    <col min="15588" max="15588" width="27.5703125" style="71" customWidth="1"/>
    <col min="15589" max="15589" width="9.140625" style="71"/>
    <col min="15590" max="15590" width="13.5703125" style="71" customWidth="1"/>
    <col min="15591" max="15591" width="15.42578125" style="71" customWidth="1"/>
    <col min="15592" max="15592" width="8.42578125" style="71" customWidth="1"/>
    <col min="15593" max="15593" width="9.42578125" style="71" customWidth="1"/>
    <col min="15594" max="15594" width="11.140625" style="71" customWidth="1"/>
    <col min="15595" max="15596" width="12.140625" style="71" customWidth="1"/>
    <col min="15597" max="15597" width="11.85546875" style="71" customWidth="1"/>
    <col min="15598" max="15598" width="12" style="71" customWidth="1"/>
    <col min="15599" max="15599" width="13.42578125" style="71" customWidth="1"/>
    <col min="15600" max="15600" width="10.5703125" style="71" customWidth="1"/>
    <col min="15601" max="15601" width="11" style="71" customWidth="1"/>
    <col min="15602" max="15842" width="9.140625" style="71"/>
    <col min="15843" max="15843" width="5.5703125" style="71" customWidth="1"/>
    <col min="15844" max="15844" width="27.5703125" style="71" customWidth="1"/>
    <col min="15845" max="15845" width="9.140625" style="71"/>
    <col min="15846" max="15846" width="13.5703125" style="71" customWidth="1"/>
    <col min="15847" max="15847" width="15.42578125" style="71" customWidth="1"/>
    <col min="15848" max="15848" width="8.42578125" style="71" customWidth="1"/>
    <col min="15849" max="15849" width="9.42578125" style="71" customWidth="1"/>
    <col min="15850" max="15850" width="11.140625" style="71" customWidth="1"/>
    <col min="15851" max="15852" width="12.140625" style="71" customWidth="1"/>
    <col min="15853" max="15853" width="11.85546875" style="71" customWidth="1"/>
    <col min="15854" max="15854" width="12" style="71" customWidth="1"/>
    <col min="15855" max="15855" width="13.42578125" style="71" customWidth="1"/>
    <col min="15856" max="15856" width="10.5703125" style="71" customWidth="1"/>
    <col min="15857" max="15857" width="11" style="71" customWidth="1"/>
    <col min="15858" max="16098" width="9.140625" style="71"/>
    <col min="16099" max="16099" width="5.5703125" style="71" customWidth="1"/>
    <col min="16100" max="16100" width="27.5703125" style="71" customWidth="1"/>
    <col min="16101" max="16101" width="9.140625" style="71"/>
    <col min="16102" max="16102" width="13.5703125" style="71" customWidth="1"/>
    <col min="16103" max="16103" width="15.42578125" style="71" customWidth="1"/>
    <col min="16104" max="16104" width="8.42578125" style="71" customWidth="1"/>
    <col min="16105" max="16105" width="9.42578125" style="71" customWidth="1"/>
    <col min="16106" max="16106" width="11.140625" style="71" customWidth="1"/>
    <col min="16107" max="16108" width="12.140625" style="71" customWidth="1"/>
    <col min="16109" max="16109" width="11.85546875" style="71" customWidth="1"/>
    <col min="16110" max="16110" width="12" style="71" customWidth="1"/>
    <col min="16111" max="16111" width="13.42578125" style="71" customWidth="1"/>
    <col min="16112" max="16112" width="10.5703125" style="71" customWidth="1"/>
    <col min="16113" max="16113" width="11" style="71" customWidth="1"/>
    <col min="16114" max="16384" width="9.140625" style="71"/>
  </cols>
  <sheetData>
    <row r="1" spans="1:26" s="3" customFormat="1" ht="12.75" customHeight="1">
      <c r="A1" s="500" t="s">
        <v>338</v>
      </c>
      <c r="B1" s="500"/>
      <c r="C1" s="68"/>
      <c r="D1" s="69"/>
      <c r="E1" s="69"/>
      <c r="Q1" s="199"/>
      <c r="R1" s="199"/>
      <c r="S1" s="199"/>
      <c r="T1" s="199"/>
      <c r="U1" s="199"/>
      <c r="V1" s="199"/>
      <c r="W1" s="199"/>
      <c r="X1" s="199"/>
      <c r="Y1" s="199"/>
      <c r="Z1" s="199"/>
    </row>
    <row r="2" spans="1:26" s="4" customFormat="1" ht="12.75" customHeight="1">
      <c r="A2" s="501" t="s">
        <v>339</v>
      </c>
      <c r="B2" s="501"/>
      <c r="C2" s="249"/>
      <c r="D2" s="70"/>
      <c r="E2" s="70"/>
      <c r="Q2" s="200"/>
      <c r="R2" s="200"/>
      <c r="S2" s="200"/>
      <c r="T2" s="200"/>
      <c r="U2" s="200"/>
      <c r="V2" s="200"/>
      <c r="W2" s="200"/>
      <c r="X2" s="200"/>
      <c r="Y2" s="200"/>
      <c r="Z2" s="200"/>
    </row>
    <row r="3" spans="1:26" s="3" customFormat="1">
      <c r="A3" s="68"/>
      <c r="B3" s="68"/>
      <c r="C3" s="68"/>
      <c r="D3" s="68"/>
      <c r="E3" s="68"/>
      <c r="Q3" s="199"/>
      <c r="R3" s="199"/>
      <c r="S3" s="199"/>
      <c r="T3" s="199"/>
      <c r="U3" s="199"/>
      <c r="V3" s="199"/>
      <c r="W3" s="199"/>
      <c r="X3" s="199"/>
      <c r="Y3" s="199"/>
      <c r="Z3" s="199"/>
    </row>
    <row r="4" spans="1:26" ht="18.75">
      <c r="A4" s="502" t="s">
        <v>101</v>
      </c>
      <c r="B4" s="502"/>
      <c r="C4" s="502"/>
      <c r="D4" s="502"/>
      <c r="E4" s="502"/>
      <c r="F4" s="502"/>
      <c r="G4" s="502"/>
      <c r="H4" s="502"/>
      <c r="I4" s="502"/>
      <c r="J4" s="502"/>
      <c r="K4" s="502"/>
      <c r="L4" s="502"/>
      <c r="M4" s="502"/>
      <c r="N4" s="502"/>
      <c r="O4" s="502"/>
    </row>
    <row r="5" spans="1:26" ht="18.75">
      <c r="A5" s="503" t="s">
        <v>337</v>
      </c>
      <c r="B5" s="503"/>
      <c r="C5" s="503"/>
      <c r="D5" s="503"/>
      <c r="E5" s="503"/>
      <c r="F5" s="503"/>
      <c r="G5" s="503"/>
      <c r="H5" s="503"/>
      <c r="I5" s="503"/>
      <c r="J5" s="503"/>
      <c r="K5" s="503"/>
      <c r="L5" s="503"/>
      <c r="M5" s="503"/>
      <c r="N5" s="503"/>
      <c r="O5" s="503"/>
    </row>
    <row r="6" spans="1:26" s="3" customFormat="1" ht="20.25" customHeight="1">
      <c r="A6" s="85"/>
      <c r="B6" s="85"/>
      <c r="C6" s="86"/>
      <c r="D6" s="85"/>
      <c r="E6" s="85"/>
      <c r="F6" s="85"/>
      <c r="G6" s="85"/>
      <c r="H6" s="85"/>
      <c r="I6" s="85"/>
      <c r="J6" s="85"/>
      <c r="K6" s="85"/>
      <c r="L6" s="85"/>
      <c r="M6" s="504" t="s">
        <v>323</v>
      </c>
      <c r="N6" s="504"/>
      <c r="O6" s="504"/>
      <c r="Q6" s="199"/>
      <c r="R6" s="199"/>
      <c r="S6" s="199"/>
      <c r="T6" s="199"/>
      <c r="U6" s="199"/>
      <c r="V6" s="199"/>
      <c r="W6" s="199"/>
      <c r="X6" s="199"/>
      <c r="Y6" s="199"/>
      <c r="Z6" s="199"/>
    </row>
    <row r="7" spans="1:26" s="210" customFormat="1" ht="33.75" customHeight="1">
      <c r="A7" s="505" t="s">
        <v>102</v>
      </c>
      <c r="B7" s="495" t="s">
        <v>103</v>
      </c>
      <c r="C7" s="495" t="s">
        <v>104</v>
      </c>
      <c r="D7" s="495" t="s">
        <v>105</v>
      </c>
      <c r="E7" s="495"/>
      <c r="F7" s="495"/>
      <c r="G7" s="495"/>
      <c r="H7" s="495"/>
      <c r="I7" s="495" t="s">
        <v>106</v>
      </c>
      <c r="J7" s="495"/>
      <c r="K7" s="492" t="s">
        <v>107</v>
      </c>
      <c r="L7" s="495" t="s">
        <v>108</v>
      </c>
      <c r="M7" s="495"/>
      <c r="N7" s="495"/>
      <c r="O7" s="492" t="s">
        <v>109</v>
      </c>
      <c r="Q7" s="211"/>
      <c r="R7" s="211"/>
      <c r="S7" s="211"/>
      <c r="T7" s="211"/>
      <c r="U7" s="211"/>
      <c r="V7" s="211"/>
      <c r="W7" s="211"/>
      <c r="X7" s="211"/>
      <c r="Y7" s="211"/>
      <c r="Z7" s="211"/>
    </row>
    <row r="8" spans="1:26" s="210" customFormat="1" ht="39.75" customHeight="1">
      <c r="A8" s="505"/>
      <c r="B8" s="495"/>
      <c r="C8" s="495"/>
      <c r="D8" s="495" t="s">
        <v>110</v>
      </c>
      <c r="E8" s="495" t="s">
        <v>13</v>
      </c>
      <c r="F8" s="495" t="s">
        <v>111</v>
      </c>
      <c r="G8" s="495"/>
      <c r="H8" s="495"/>
      <c r="I8" s="495" t="s">
        <v>13</v>
      </c>
      <c r="J8" s="496" t="s">
        <v>778</v>
      </c>
      <c r="K8" s="493"/>
      <c r="L8" s="498" t="s">
        <v>112</v>
      </c>
      <c r="M8" s="499" t="s">
        <v>778</v>
      </c>
      <c r="N8" s="499"/>
      <c r="O8" s="493"/>
      <c r="Q8" s="211"/>
      <c r="R8" s="211"/>
      <c r="S8" s="211"/>
      <c r="T8" s="211"/>
      <c r="U8" s="211"/>
      <c r="V8" s="211"/>
      <c r="W8" s="211"/>
      <c r="X8" s="211"/>
      <c r="Y8" s="211"/>
      <c r="Z8" s="211"/>
    </row>
    <row r="9" spans="1:26" s="210" customFormat="1" ht="66">
      <c r="A9" s="505"/>
      <c r="B9" s="495"/>
      <c r="C9" s="495"/>
      <c r="D9" s="495"/>
      <c r="E9" s="495"/>
      <c r="F9" s="247" t="s">
        <v>113</v>
      </c>
      <c r="G9" s="247" t="s">
        <v>15</v>
      </c>
      <c r="H9" s="247" t="s">
        <v>114</v>
      </c>
      <c r="I9" s="495"/>
      <c r="J9" s="497"/>
      <c r="K9" s="494"/>
      <c r="L9" s="498"/>
      <c r="M9" s="245" t="s">
        <v>115</v>
      </c>
      <c r="N9" s="245" t="s">
        <v>116</v>
      </c>
      <c r="O9" s="494"/>
      <c r="Q9" s="211">
        <v>2016</v>
      </c>
      <c r="R9" s="211">
        <v>2017</v>
      </c>
      <c r="S9" s="73" t="s">
        <v>800</v>
      </c>
      <c r="T9" s="211">
        <v>2018</v>
      </c>
      <c r="U9" s="73" t="s">
        <v>799</v>
      </c>
      <c r="V9" s="211">
        <v>2019</v>
      </c>
      <c r="W9" s="73" t="s">
        <v>801</v>
      </c>
      <c r="X9" s="73" t="s">
        <v>805</v>
      </c>
      <c r="Y9" s="73" t="s">
        <v>807</v>
      </c>
      <c r="Z9" s="73">
        <v>2020</v>
      </c>
    </row>
    <row r="10" spans="1:26" s="212" customFormat="1" ht="16.5">
      <c r="A10" s="34">
        <v>1</v>
      </c>
      <c r="B10" s="76">
        <v>2</v>
      </c>
      <c r="C10" s="34">
        <v>3</v>
      </c>
      <c r="D10" s="76">
        <v>4</v>
      </c>
      <c r="E10" s="34">
        <v>5</v>
      </c>
      <c r="F10" s="34">
        <v>6</v>
      </c>
      <c r="G10" s="76">
        <v>7</v>
      </c>
      <c r="H10" s="34">
        <v>8</v>
      </c>
      <c r="I10" s="34">
        <v>9</v>
      </c>
      <c r="J10" s="76">
        <v>10</v>
      </c>
      <c r="K10" s="34">
        <v>11</v>
      </c>
      <c r="L10" s="34">
        <v>12</v>
      </c>
      <c r="M10" s="76">
        <v>13</v>
      </c>
      <c r="N10" s="34">
        <v>14</v>
      </c>
      <c r="O10" s="34">
        <v>15</v>
      </c>
      <c r="Q10" s="213"/>
      <c r="R10" s="213"/>
      <c r="S10" s="213"/>
      <c r="T10" s="213"/>
      <c r="U10" s="213"/>
      <c r="V10" s="213"/>
      <c r="W10" s="213"/>
      <c r="X10" s="213"/>
      <c r="Y10" s="213"/>
      <c r="Z10" s="213"/>
    </row>
    <row r="11" spans="1:26" s="210" customFormat="1" ht="16.5" hidden="1">
      <c r="A11" s="246"/>
      <c r="B11" s="247" t="s">
        <v>18</v>
      </c>
      <c r="C11" s="247"/>
      <c r="D11" s="247"/>
      <c r="E11" s="37">
        <f t="shared" ref="E11:N11" si="0">+E12+E128</f>
        <v>1433101.3487550002</v>
      </c>
      <c r="F11" s="37">
        <f t="shared" si="0"/>
        <v>458523.69699999999</v>
      </c>
      <c r="G11" s="37">
        <f t="shared" si="0"/>
        <v>488932.27965500008</v>
      </c>
      <c r="H11" s="37">
        <f t="shared" si="0"/>
        <v>436939.11810000002</v>
      </c>
      <c r="I11" s="37">
        <f t="shared" si="0"/>
        <v>1210062.1877069999</v>
      </c>
      <c r="J11" s="37">
        <f t="shared" si="0"/>
        <v>441249.71638500009</v>
      </c>
      <c r="K11" s="37">
        <f t="shared" si="0"/>
        <v>1226529.8062423503</v>
      </c>
      <c r="L11" s="37">
        <f t="shared" si="0"/>
        <v>1151245.6667523501</v>
      </c>
      <c r="M11" s="37">
        <f t="shared" si="0"/>
        <v>304137.24799999996</v>
      </c>
      <c r="N11" s="37">
        <f t="shared" si="0"/>
        <v>406393.1415093501</v>
      </c>
      <c r="O11" s="211"/>
      <c r="Q11" s="211"/>
      <c r="R11" s="211"/>
      <c r="S11" s="211"/>
      <c r="T11" s="211"/>
      <c r="U11" s="211"/>
      <c r="V11" s="211"/>
      <c r="W11" s="211"/>
      <c r="X11" s="211"/>
      <c r="Y11" s="211"/>
      <c r="Z11" s="211"/>
    </row>
    <row r="12" spans="1:26" s="210" customFormat="1" ht="33" hidden="1">
      <c r="A12" s="246" t="s">
        <v>19</v>
      </c>
      <c r="B12" s="81" t="s">
        <v>340</v>
      </c>
      <c r="C12" s="247"/>
      <c r="D12" s="247"/>
      <c r="E12" s="37">
        <f t="shared" ref="E12:N12" si="1">E13+E15+E32</f>
        <v>1145636.5727550003</v>
      </c>
      <c r="F12" s="37">
        <f t="shared" si="1"/>
        <v>446309.99699999997</v>
      </c>
      <c r="G12" s="37">
        <f t="shared" si="1"/>
        <v>406861.40175500006</v>
      </c>
      <c r="H12" s="37">
        <f t="shared" si="1"/>
        <v>292465.174</v>
      </c>
      <c r="I12" s="37">
        <f t="shared" si="1"/>
        <v>978261.57670699991</v>
      </c>
      <c r="J12" s="37">
        <f t="shared" si="1"/>
        <v>333309.09748500009</v>
      </c>
      <c r="K12" s="37">
        <f t="shared" si="1"/>
        <v>973648.23724235024</v>
      </c>
      <c r="L12" s="37">
        <f t="shared" si="1"/>
        <v>943570.01175235002</v>
      </c>
      <c r="M12" s="37">
        <f t="shared" si="1"/>
        <v>198824.41599999994</v>
      </c>
      <c r="N12" s="37">
        <f t="shared" si="1"/>
        <v>298452.5226093501</v>
      </c>
      <c r="O12" s="211"/>
      <c r="Q12" s="211"/>
      <c r="R12" s="211"/>
      <c r="S12" s="211"/>
      <c r="T12" s="211"/>
      <c r="U12" s="211"/>
      <c r="V12" s="211"/>
      <c r="W12" s="211"/>
      <c r="X12" s="211"/>
      <c r="Y12" s="211"/>
      <c r="Z12" s="211"/>
    </row>
    <row r="13" spans="1:26" s="210" customFormat="1" ht="49.5" hidden="1">
      <c r="A13" s="246" t="s">
        <v>20</v>
      </c>
      <c r="B13" s="73" t="s">
        <v>336</v>
      </c>
      <c r="C13" s="247"/>
      <c r="D13" s="247"/>
      <c r="E13" s="37">
        <f>E14</f>
        <v>4972.2920000000004</v>
      </c>
      <c r="F13" s="37">
        <f t="shared" ref="F13:N13" si="2">F14</f>
        <v>1500</v>
      </c>
      <c r="G13" s="37">
        <f t="shared" si="2"/>
        <v>3472.2920000000004</v>
      </c>
      <c r="H13" s="37">
        <f t="shared" si="2"/>
        <v>0</v>
      </c>
      <c r="I13" s="37">
        <f t="shared" si="2"/>
        <v>4914.5230000000001</v>
      </c>
      <c r="J13" s="37">
        <f t="shared" si="2"/>
        <v>1814.5230000000001</v>
      </c>
      <c r="K13" s="37">
        <f t="shared" si="2"/>
        <v>4914.5230000000001</v>
      </c>
      <c r="L13" s="37">
        <f t="shared" si="2"/>
        <v>4914.5230000000001</v>
      </c>
      <c r="M13" s="37">
        <f t="shared" si="2"/>
        <v>1814.5230000000001</v>
      </c>
      <c r="N13" s="37">
        <f t="shared" si="2"/>
        <v>1814.5230000000001</v>
      </c>
      <c r="O13" s="211"/>
      <c r="Q13" s="211"/>
      <c r="R13" s="211"/>
      <c r="S13" s="211"/>
      <c r="T13" s="211"/>
      <c r="U13" s="211"/>
      <c r="V13" s="211"/>
      <c r="W13" s="211"/>
      <c r="X13" s="211"/>
      <c r="Y13" s="211"/>
      <c r="Z13" s="211"/>
    </row>
    <row r="14" spans="1:26" s="216" customFormat="1" ht="66" hidden="1">
      <c r="A14" s="87">
        <v>1</v>
      </c>
      <c r="B14" s="88" t="s">
        <v>117</v>
      </c>
      <c r="C14" s="89">
        <v>2015</v>
      </c>
      <c r="D14" s="90" t="s">
        <v>118</v>
      </c>
      <c r="E14" s="91">
        <f>F14+G14+H14</f>
        <v>4972.2920000000004</v>
      </c>
      <c r="F14" s="91">
        <v>1500</v>
      </c>
      <c r="G14" s="91">
        <f>4972.292-1500</f>
        <v>3472.2920000000004</v>
      </c>
      <c r="H14" s="91"/>
      <c r="I14" s="91">
        <v>4914.5230000000001</v>
      </c>
      <c r="J14" s="91">
        <f>4914.523-1600-1500</f>
        <v>1814.5230000000001</v>
      </c>
      <c r="K14" s="91">
        <v>4914.5230000000001</v>
      </c>
      <c r="L14" s="91">
        <v>4914.5230000000001</v>
      </c>
      <c r="M14" s="91">
        <f>J14</f>
        <v>1814.5230000000001</v>
      </c>
      <c r="N14" s="91">
        <f>J14</f>
        <v>1814.5230000000001</v>
      </c>
      <c r="O14" s="91"/>
      <c r="Q14" s="217">
        <f>500+500</f>
        <v>1000</v>
      </c>
      <c r="R14" s="217">
        <v>314.52300000000002</v>
      </c>
      <c r="S14" s="217"/>
      <c r="T14" s="217"/>
      <c r="U14" s="217"/>
      <c r="V14" s="217"/>
      <c r="W14" s="217"/>
      <c r="X14" s="217"/>
      <c r="Y14" s="217"/>
      <c r="Z14" s="217"/>
    </row>
    <row r="15" spans="1:26" s="210" customFormat="1" ht="33" hidden="1">
      <c r="A15" s="246" t="s">
        <v>23</v>
      </c>
      <c r="B15" s="22" t="s">
        <v>141</v>
      </c>
      <c r="C15" s="23"/>
      <c r="D15" s="24"/>
      <c r="E15" s="25">
        <f>SUM(E16:E31)</f>
        <v>397626.299</v>
      </c>
      <c r="F15" s="25">
        <f t="shared" ref="F15:N15" si="3">SUM(F16:F31)</f>
        <v>122428.06299999999</v>
      </c>
      <c r="G15" s="25">
        <f t="shared" si="3"/>
        <v>22272.236000000001</v>
      </c>
      <c r="H15" s="25">
        <f t="shared" si="3"/>
        <v>252926</v>
      </c>
      <c r="I15" s="25">
        <f t="shared" si="3"/>
        <v>363576.41916699999</v>
      </c>
      <c r="J15" s="25">
        <f t="shared" si="3"/>
        <v>18340.601999999999</v>
      </c>
      <c r="K15" s="25">
        <f t="shared" si="3"/>
        <v>360785.34253800003</v>
      </c>
      <c r="L15" s="25">
        <f t="shared" si="3"/>
        <v>362732.71108799998</v>
      </c>
      <c r="M15" s="25">
        <f t="shared" si="3"/>
        <v>11340.602000000001</v>
      </c>
      <c r="N15" s="25">
        <f t="shared" si="3"/>
        <v>18340.601999999999</v>
      </c>
      <c r="O15" s="211"/>
      <c r="Q15" s="211"/>
      <c r="R15" s="211"/>
      <c r="S15" s="211"/>
      <c r="T15" s="211"/>
      <c r="U15" s="211"/>
      <c r="V15" s="211"/>
      <c r="W15" s="211"/>
      <c r="X15" s="211"/>
      <c r="Y15" s="211"/>
      <c r="Z15" s="211"/>
    </row>
    <row r="16" spans="1:26" s="216" customFormat="1" ht="66" hidden="1">
      <c r="A16" s="87">
        <v>1</v>
      </c>
      <c r="B16" s="92" t="s">
        <v>122</v>
      </c>
      <c r="C16" s="93" t="s">
        <v>120</v>
      </c>
      <c r="D16" s="90" t="s">
        <v>123</v>
      </c>
      <c r="E16" s="91">
        <f>F16+G16+H16</f>
        <v>1051.76</v>
      </c>
      <c r="F16" s="94"/>
      <c r="G16" s="95">
        <v>1051.76</v>
      </c>
      <c r="H16" s="95"/>
      <c r="I16" s="95">
        <v>967.05600000000004</v>
      </c>
      <c r="J16" s="95">
        <v>967.05600000000004</v>
      </c>
      <c r="K16" s="95">
        <v>967.05600000000004</v>
      </c>
      <c r="L16" s="95">
        <v>967.05600000000004</v>
      </c>
      <c r="M16" s="91">
        <f t="shared" ref="M16:M25" si="4">J16</f>
        <v>967.05600000000004</v>
      </c>
      <c r="N16" s="91">
        <f t="shared" ref="N16:N25" si="5">J16</f>
        <v>967.05600000000004</v>
      </c>
      <c r="O16" s="95"/>
      <c r="Q16" s="217">
        <v>300</v>
      </c>
      <c r="R16" s="217"/>
      <c r="S16" s="217"/>
      <c r="T16" s="217"/>
      <c r="U16" s="217"/>
      <c r="V16" s="217"/>
      <c r="W16" s="217"/>
      <c r="X16" s="217"/>
      <c r="Y16" s="217"/>
      <c r="Z16" s="217"/>
    </row>
    <row r="17" spans="1:26" s="216" customFormat="1" ht="82.5" hidden="1">
      <c r="A17" s="87">
        <v>2</v>
      </c>
      <c r="B17" s="42" t="s">
        <v>119</v>
      </c>
      <c r="C17" s="93" t="s">
        <v>120</v>
      </c>
      <c r="D17" s="96" t="s">
        <v>121</v>
      </c>
      <c r="E17" s="91">
        <f t="shared" ref="E17:E27" si="6">F17+G17+H17</f>
        <v>723.84299999999996</v>
      </c>
      <c r="F17" s="97"/>
      <c r="G17" s="98">
        <v>723.84299999999996</v>
      </c>
      <c r="H17" s="97"/>
      <c r="I17" s="79">
        <v>695.66499999999996</v>
      </c>
      <c r="J17" s="79">
        <f>695.665-300</f>
        <v>395.66499999999996</v>
      </c>
      <c r="K17" s="79">
        <v>695.66499999999996</v>
      </c>
      <c r="L17" s="79">
        <v>695.66499999999996</v>
      </c>
      <c r="M17" s="91">
        <f t="shared" si="4"/>
        <v>395.66499999999996</v>
      </c>
      <c r="N17" s="91">
        <f t="shared" si="5"/>
        <v>395.66499999999996</v>
      </c>
      <c r="O17" s="99"/>
      <c r="Q17" s="217">
        <v>150</v>
      </c>
      <c r="R17" s="217">
        <v>100</v>
      </c>
      <c r="S17" s="217"/>
      <c r="T17" s="217">
        <v>146</v>
      </c>
      <c r="U17" s="217"/>
      <c r="V17" s="217"/>
      <c r="W17" s="217"/>
      <c r="X17" s="217"/>
      <c r="Y17" s="217"/>
      <c r="Z17" s="217"/>
    </row>
    <row r="18" spans="1:26" s="259" customFormat="1" ht="82.5" hidden="1">
      <c r="A18" s="87">
        <v>3</v>
      </c>
      <c r="B18" s="58" t="s">
        <v>124</v>
      </c>
      <c r="C18" s="93" t="s">
        <v>120</v>
      </c>
      <c r="D18" s="96" t="s">
        <v>125</v>
      </c>
      <c r="E18" s="91">
        <f t="shared" si="6"/>
        <v>954.63199999999995</v>
      </c>
      <c r="F18" s="100"/>
      <c r="G18" s="91">
        <v>954.63199999999995</v>
      </c>
      <c r="H18" s="101"/>
      <c r="I18" s="91">
        <v>873.36500000000001</v>
      </c>
      <c r="J18" s="91">
        <v>873.36500000000001</v>
      </c>
      <c r="K18" s="91">
        <v>873.36500000000001</v>
      </c>
      <c r="L18" s="91">
        <v>873.36500000000001</v>
      </c>
      <c r="M18" s="91">
        <f t="shared" si="4"/>
        <v>873.36500000000001</v>
      </c>
      <c r="N18" s="91">
        <f t="shared" si="5"/>
        <v>873.36500000000001</v>
      </c>
      <c r="O18" s="102"/>
      <c r="Q18" s="260">
        <v>300</v>
      </c>
      <c r="R18" s="260">
        <v>67</v>
      </c>
      <c r="S18" s="260"/>
      <c r="T18" s="260"/>
      <c r="U18" s="260"/>
      <c r="V18" s="260"/>
      <c r="W18" s="260"/>
      <c r="X18" s="260"/>
      <c r="Y18" s="260"/>
      <c r="Z18" s="260"/>
    </row>
    <row r="19" spans="1:26" s="216" customFormat="1" ht="66" hidden="1">
      <c r="A19" s="87">
        <v>4</v>
      </c>
      <c r="B19" s="78" t="s">
        <v>131</v>
      </c>
      <c r="C19" s="93" t="s">
        <v>120</v>
      </c>
      <c r="D19" s="96" t="s">
        <v>132</v>
      </c>
      <c r="E19" s="91">
        <f t="shared" si="6"/>
        <v>11525.097</v>
      </c>
      <c r="F19" s="95">
        <f>11525.097-1000</f>
        <v>10525.097</v>
      </c>
      <c r="G19" s="95">
        <v>1000</v>
      </c>
      <c r="H19" s="97"/>
      <c r="I19" s="103">
        <v>10029.323</v>
      </c>
      <c r="J19" s="97">
        <v>1000</v>
      </c>
      <c r="K19" s="103">
        <v>10029.323</v>
      </c>
      <c r="L19" s="97">
        <v>10029.323</v>
      </c>
      <c r="M19" s="91">
        <f t="shared" si="4"/>
        <v>1000</v>
      </c>
      <c r="N19" s="91">
        <f t="shared" si="5"/>
        <v>1000</v>
      </c>
      <c r="O19" s="97"/>
      <c r="Q19" s="217"/>
      <c r="R19" s="217"/>
      <c r="S19" s="217"/>
      <c r="T19" s="217"/>
      <c r="U19" s="217"/>
      <c r="V19" s="217"/>
      <c r="W19" s="217"/>
      <c r="X19" s="217"/>
      <c r="Y19" s="217"/>
      <c r="Z19" s="217"/>
    </row>
    <row r="20" spans="1:26" s="214" customFormat="1" ht="66" hidden="1">
      <c r="A20" s="87">
        <v>5</v>
      </c>
      <c r="B20" s="78" t="s">
        <v>133</v>
      </c>
      <c r="C20" s="104" t="s">
        <v>120</v>
      </c>
      <c r="D20" s="46" t="s">
        <v>134</v>
      </c>
      <c r="E20" s="91">
        <f t="shared" si="6"/>
        <v>24267.087</v>
      </c>
      <c r="F20" s="101">
        <v>18000</v>
      </c>
      <c r="G20" s="101">
        <v>6267.0869999999995</v>
      </c>
      <c r="H20" s="101"/>
      <c r="I20" s="101">
        <v>21059.795999999998</v>
      </c>
      <c r="J20" s="97">
        <v>1093.3599999999999</v>
      </c>
      <c r="K20" s="101">
        <v>21059.795999999998</v>
      </c>
      <c r="L20" s="101">
        <v>21059.795999999998</v>
      </c>
      <c r="M20" s="91">
        <f t="shared" si="4"/>
        <v>1093.3599999999999</v>
      </c>
      <c r="N20" s="91">
        <f t="shared" si="5"/>
        <v>1093.3599999999999</v>
      </c>
      <c r="O20" s="101"/>
      <c r="Q20" s="215"/>
      <c r="R20" s="215"/>
      <c r="S20" s="215"/>
      <c r="T20" s="215"/>
      <c r="U20" s="215"/>
      <c r="V20" s="215">
        <v>722.32799999999997</v>
      </c>
      <c r="W20" s="215"/>
      <c r="X20" s="215"/>
      <c r="Y20" s="215"/>
      <c r="Z20" s="215"/>
    </row>
    <row r="21" spans="1:26" s="216" customFormat="1" ht="66">
      <c r="A21" s="87">
        <v>6</v>
      </c>
      <c r="B21" s="78" t="s">
        <v>135</v>
      </c>
      <c r="C21" s="93" t="s">
        <v>120</v>
      </c>
      <c r="D21" s="96" t="s">
        <v>136</v>
      </c>
      <c r="E21" s="91">
        <f t="shared" si="6"/>
        <v>3267.68</v>
      </c>
      <c r="F21" s="95">
        <f>3267.68-100</f>
        <v>3167.68</v>
      </c>
      <c r="G21" s="95">
        <v>100</v>
      </c>
      <c r="H21" s="97"/>
      <c r="I21" s="97">
        <v>2905.3850000000002</v>
      </c>
      <c r="J21" s="97">
        <v>100</v>
      </c>
      <c r="K21" s="97">
        <v>2905.3850000000002</v>
      </c>
      <c r="L21" s="97">
        <v>2905.3850000000002</v>
      </c>
      <c r="M21" s="91">
        <f t="shared" si="4"/>
        <v>100</v>
      </c>
      <c r="N21" s="91">
        <f t="shared" si="5"/>
        <v>100</v>
      </c>
      <c r="O21" s="97"/>
      <c r="P21" s="216">
        <v>1</v>
      </c>
      <c r="Q21" s="217"/>
      <c r="R21" s="217">
        <v>100</v>
      </c>
      <c r="S21" s="217"/>
      <c r="T21" s="217"/>
      <c r="U21" s="217"/>
      <c r="V21" s="217"/>
      <c r="W21" s="217"/>
      <c r="X21" s="217"/>
      <c r="Y21" s="217"/>
      <c r="Z21" s="217"/>
    </row>
    <row r="22" spans="1:26" s="216" customFormat="1" ht="66">
      <c r="A22" s="87">
        <v>7</v>
      </c>
      <c r="B22" s="105" t="s">
        <v>137</v>
      </c>
      <c r="C22" s="93" t="s">
        <v>120</v>
      </c>
      <c r="D22" s="96" t="s">
        <v>138</v>
      </c>
      <c r="E22" s="91">
        <f t="shared" si="6"/>
        <v>10441.09</v>
      </c>
      <c r="F22" s="95">
        <f>10441.09-1000</f>
        <v>9441.09</v>
      </c>
      <c r="G22" s="95">
        <v>1000</v>
      </c>
      <c r="H22" s="97"/>
      <c r="I22" s="106">
        <v>9214.6597999999994</v>
      </c>
      <c r="J22" s="97">
        <v>1000</v>
      </c>
      <c r="K22" s="106">
        <v>9214.6597999999994</v>
      </c>
      <c r="L22" s="106">
        <v>9214.6597999999994</v>
      </c>
      <c r="M22" s="91">
        <f t="shared" si="4"/>
        <v>1000</v>
      </c>
      <c r="N22" s="91">
        <f t="shared" si="5"/>
        <v>1000</v>
      </c>
      <c r="O22" s="106"/>
      <c r="P22" s="216">
        <v>1</v>
      </c>
      <c r="Q22" s="217"/>
      <c r="R22" s="217">
        <v>100</v>
      </c>
      <c r="S22" s="217"/>
      <c r="T22" s="217"/>
      <c r="U22" s="217"/>
      <c r="V22" s="217"/>
      <c r="W22" s="217"/>
      <c r="X22" s="217"/>
      <c r="Y22" s="217"/>
      <c r="Z22" s="217"/>
    </row>
    <row r="23" spans="1:26" s="74" customFormat="1" ht="66" hidden="1">
      <c r="A23" s="87">
        <v>8</v>
      </c>
      <c r="B23" s="88" t="s">
        <v>139</v>
      </c>
      <c r="C23" s="89" t="s">
        <v>120</v>
      </c>
      <c r="D23" s="96" t="s">
        <v>140</v>
      </c>
      <c r="E23" s="91">
        <f t="shared" si="6"/>
        <v>6358.8419999999996</v>
      </c>
      <c r="F23" s="95">
        <f>6358.842-1726</f>
        <v>4632.8419999999996</v>
      </c>
      <c r="G23" s="97">
        <v>1726</v>
      </c>
      <c r="H23" s="97"/>
      <c r="I23" s="106">
        <v>5543.6840000000002</v>
      </c>
      <c r="J23" s="97">
        <v>1726</v>
      </c>
      <c r="K23" s="106">
        <v>5543.6840000000002</v>
      </c>
      <c r="L23" s="106">
        <v>5543.6840000000002</v>
      </c>
      <c r="M23" s="91">
        <f t="shared" si="4"/>
        <v>1726</v>
      </c>
      <c r="N23" s="91">
        <f t="shared" si="5"/>
        <v>1726</v>
      </c>
      <c r="O23" s="106"/>
      <c r="Q23" s="202"/>
      <c r="R23" s="202"/>
      <c r="S23" s="202"/>
      <c r="T23" s="261">
        <v>500</v>
      </c>
      <c r="U23" s="261">
        <v>226</v>
      </c>
      <c r="V23" s="202"/>
      <c r="W23" s="202"/>
      <c r="X23" s="202"/>
      <c r="Y23" s="202"/>
      <c r="Z23" s="202"/>
    </row>
    <row r="24" spans="1:26" s="216" customFormat="1" ht="66" hidden="1">
      <c r="A24" s="87">
        <v>9</v>
      </c>
      <c r="B24" s="78" t="s">
        <v>163</v>
      </c>
      <c r="C24" s="93" t="s">
        <v>164</v>
      </c>
      <c r="D24" s="96" t="s">
        <v>165</v>
      </c>
      <c r="E24" s="91">
        <f t="shared" si="6"/>
        <v>9933.4629999999997</v>
      </c>
      <c r="F24" s="107">
        <f>9933.463-(429.197+19.717)</f>
        <v>9484.5489999999991</v>
      </c>
      <c r="G24" s="101">
        <f>429.197+19.717</f>
        <v>448.91399999999999</v>
      </c>
      <c r="H24" s="97"/>
      <c r="I24" s="101">
        <v>8811.9140000000007</v>
      </c>
      <c r="J24" s="101">
        <f>429.197+19.717</f>
        <v>448.91399999999999</v>
      </c>
      <c r="K24" s="101">
        <v>8811.9140000000007</v>
      </c>
      <c r="L24" s="101">
        <v>8811.9140000000007</v>
      </c>
      <c r="M24" s="91">
        <f t="shared" si="4"/>
        <v>448.91399999999999</v>
      </c>
      <c r="N24" s="91">
        <f t="shared" si="5"/>
        <v>448.91399999999999</v>
      </c>
      <c r="O24" s="97"/>
      <c r="Q24" s="217"/>
      <c r="R24" s="217"/>
      <c r="S24" s="217"/>
      <c r="T24" s="217"/>
      <c r="U24" s="217">
        <v>448.91399999999999</v>
      </c>
      <c r="V24" s="217"/>
      <c r="W24" s="217"/>
      <c r="X24" s="217"/>
      <c r="Y24" s="217"/>
      <c r="Z24" s="217"/>
    </row>
    <row r="25" spans="1:26" s="218" customFormat="1" ht="49.5" hidden="1">
      <c r="A25" s="87">
        <v>10</v>
      </c>
      <c r="B25" s="108" t="s">
        <v>188</v>
      </c>
      <c r="C25" s="104" t="s">
        <v>189</v>
      </c>
      <c r="D25" s="109" t="s">
        <v>190</v>
      </c>
      <c r="E25" s="91">
        <f t="shared" si="6"/>
        <v>254926</v>
      </c>
      <c r="F25" s="101"/>
      <c r="G25" s="101">
        <v>2000</v>
      </c>
      <c r="H25" s="101">
        <f>254926-2000</f>
        <v>252926</v>
      </c>
      <c r="I25" s="101">
        <f>249031.708079+2000+131</f>
        <v>251162.708079</v>
      </c>
      <c r="J25" s="101">
        <v>2000</v>
      </c>
      <c r="K25" s="101">
        <v>251819</v>
      </c>
      <c r="L25" s="101">
        <v>251819</v>
      </c>
      <c r="M25" s="91">
        <f t="shared" si="4"/>
        <v>2000</v>
      </c>
      <c r="N25" s="91">
        <f t="shared" si="5"/>
        <v>2000</v>
      </c>
      <c r="O25" s="101"/>
      <c r="Q25" s="219"/>
      <c r="R25" s="219"/>
      <c r="S25" s="219"/>
      <c r="T25" s="219"/>
      <c r="U25" s="219"/>
      <c r="V25" s="219">
        <v>2000</v>
      </c>
      <c r="W25" s="219"/>
      <c r="X25" s="219"/>
      <c r="Y25" s="219"/>
      <c r="Z25" s="219"/>
    </row>
    <row r="26" spans="1:26" s="214" customFormat="1" ht="66" hidden="1">
      <c r="A26" s="87">
        <v>11</v>
      </c>
      <c r="B26" s="78" t="s">
        <v>248</v>
      </c>
      <c r="C26" s="104" t="s">
        <v>249</v>
      </c>
      <c r="D26" s="89" t="s">
        <v>250</v>
      </c>
      <c r="E26" s="91">
        <f t="shared" si="6"/>
        <v>41212.658000000003</v>
      </c>
      <c r="F26" s="110">
        <f>41212.658-2000</f>
        <v>39212.658000000003</v>
      </c>
      <c r="G26" s="110">
        <v>2000</v>
      </c>
      <c r="H26" s="110"/>
      <c r="I26" s="110">
        <f>30696.863288+3500+3500</f>
        <v>37696.863288</v>
      </c>
      <c r="J26" s="101">
        <v>2000</v>
      </c>
      <c r="K26" s="101">
        <f>30696.863288+3500+622.5595-787.7942</f>
        <v>34031.628588000007</v>
      </c>
      <c r="L26" s="110">
        <f>30696.863288+3500+N26</f>
        <v>36196.863288</v>
      </c>
      <c r="M26" s="110"/>
      <c r="N26" s="110">
        <v>2000</v>
      </c>
      <c r="O26" s="110"/>
      <c r="Q26" s="215"/>
      <c r="R26" s="215"/>
      <c r="S26" s="215"/>
      <c r="T26" s="215"/>
      <c r="U26" s="215"/>
      <c r="V26" s="215"/>
      <c r="W26" s="215"/>
      <c r="X26" s="215"/>
      <c r="Y26" s="215"/>
      <c r="Z26" s="215">
        <v>2000</v>
      </c>
    </row>
    <row r="27" spans="1:26" s="26" customFormat="1" ht="66" hidden="1">
      <c r="A27" s="87">
        <v>12</v>
      </c>
      <c r="B27" s="111" t="s">
        <v>251</v>
      </c>
      <c r="C27" s="38" t="s">
        <v>252</v>
      </c>
      <c r="D27" s="112" t="s">
        <v>253</v>
      </c>
      <c r="E27" s="91">
        <f t="shared" si="6"/>
        <v>32964.146999999997</v>
      </c>
      <c r="F27" s="113">
        <f>32964.147-5000</f>
        <v>27964.146999999997</v>
      </c>
      <c r="G27" s="113">
        <v>5000</v>
      </c>
      <c r="H27" s="113"/>
      <c r="I27" s="113">
        <f>8616+6000</f>
        <v>14616</v>
      </c>
      <c r="J27" s="113">
        <v>5000</v>
      </c>
      <c r="K27" s="113">
        <f>E27*45%</f>
        <v>14833.86615</v>
      </c>
      <c r="L27" s="113">
        <f>8616+1000+N27</f>
        <v>14616</v>
      </c>
      <c r="M27" s="113"/>
      <c r="N27" s="113">
        <f>J27</f>
        <v>5000</v>
      </c>
      <c r="O27" s="113"/>
      <c r="Q27" s="203"/>
      <c r="R27" s="203"/>
      <c r="S27" s="203"/>
      <c r="T27" s="203"/>
      <c r="U27" s="203"/>
      <c r="V27" s="203"/>
      <c r="W27" s="203"/>
      <c r="X27" s="203"/>
      <c r="Y27" s="203"/>
      <c r="Z27" s="203">
        <v>5000</v>
      </c>
    </row>
    <row r="28" spans="1:26" s="26" customFormat="1" ht="33" hidden="1">
      <c r="A28" s="87"/>
      <c r="B28" s="111" t="s">
        <v>793</v>
      </c>
      <c r="C28" s="38"/>
      <c r="D28" s="112"/>
      <c r="E28" s="91"/>
      <c r="F28" s="113"/>
      <c r="G28" s="113"/>
      <c r="H28" s="113"/>
      <c r="I28" s="113"/>
      <c r="J28" s="113">
        <v>1036.242</v>
      </c>
      <c r="K28" s="113"/>
      <c r="L28" s="113"/>
      <c r="M28" s="113">
        <v>1036.242</v>
      </c>
      <c r="N28" s="113">
        <v>1036.242</v>
      </c>
      <c r="O28" s="113"/>
      <c r="Q28" s="203">
        <v>800</v>
      </c>
      <c r="R28" s="203">
        <v>236.24199999999999</v>
      </c>
      <c r="S28" s="203"/>
      <c r="T28" s="203"/>
      <c r="U28" s="203"/>
      <c r="V28" s="203"/>
      <c r="W28" s="203"/>
      <c r="X28" s="203"/>
      <c r="Y28" s="203"/>
      <c r="Z28" s="203"/>
    </row>
    <row r="29" spans="1:26" s="26" customFormat="1" ht="49.5" hidden="1">
      <c r="A29" s="87"/>
      <c r="B29" s="111" t="s">
        <v>794</v>
      </c>
      <c r="C29" s="38"/>
      <c r="D29" s="112"/>
      <c r="E29" s="91"/>
      <c r="F29" s="113"/>
      <c r="G29" s="113"/>
      <c r="H29" s="113"/>
      <c r="I29" s="113"/>
      <c r="J29" s="113">
        <v>150</v>
      </c>
      <c r="K29" s="113"/>
      <c r="L29" s="113"/>
      <c r="M29" s="113">
        <v>150</v>
      </c>
      <c r="N29" s="113">
        <v>150</v>
      </c>
      <c r="O29" s="113"/>
      <c r="Q29" s="203">
        <v>150</v>
      </c>
      <c r="R29" s="203"/>
      <c r="S29" s="203"/>
      <c r="T29" s="203"/>
      <c r="U29" s="203"/>
      <c r="V29" s="203"/>
      <c r="W29" s="203"/>
      <c r="X29" s="203"/>
      <c r="Y29" s="203"/>
      <c r="Z29" s="203"/>
    </row>
    <row r="30" spans="1:26" s="26" customFormat="1" ht="49.5">
      <c r="A30" s="87"/>
      <c r="B30" s="111" t="s">
        <v>854</v>
      </c>
      <c r="C30" s="38"/>
      <c r="D30" s="112"/>
      <c r="E30" s="91"/>
      <c r="F30" s="113"/>
      <c r="G30" s="113"/>
      <c r="H30" s="113"/>
      <c r="I30" s="113"/>
      <c r="J30" s="113"/>
      <c r="K30" s="113"/>
      <c r="L30" s="113"/>
      <c r="M30" s="113"/>
      <c r="N30" s="113"/>
      <c r="O30" s="113"/>
      <c r="P30" s="26">
        <v>1</v>
      </c>
      <c r="Q30" s="203">
        <v>200</v>
      </c>
      <c r="R30" s="203"/>
      <c r="S30" s="203"/>
      <c r="T30" s="203"/>
      <c r="U30" s="203"/>
      <c r="V30" s="203"/>
      <c r="W30" s="203"/>
      <c r="X30" s="203"/>
      <c r="Y30" s="203"/>
      <c r="Z30" s="203"/>
    </row>
    <row r="31" spans="1:26" s="26" customFormat="1" ht="16.5" hidden="1">
      <c r="A31" s="87"/>
      <c r="B31" s="111" t="s">
        <v>795</v>
      </c>
      <c r="C31" s="38"/>
      <c r="D31" s="112"/>
      <c r="E31" s="91"/>
      <c r="F31" s="113"/>
      <c r="G31" s="113"/>
      <c r="H31" s="113"/>
      <c r="I31" s="113"/>
      <c r="J31" s="113">
        <v>550</v>
      </c>
      <c r="K31" s="113"/>
      <c r="L31" s="113"/>
      <c r="M31" s="113">
        <v>550</v>
      </c>
      <c r="N31" s="113">
        <v>550</v>
      </c>
      <c r="O31" s="113"/>
      <c r="Q31" s="203">
        <v>400</v>
      </c>
      <c r="R31" s="203">
        <v>150</v>
      </c>
      <c r="S31" s="203"/>
      <c r="T31" s="203"/>
      <c r="U31" s="203"/>
      <c r="V31" s="203"/>
      <c r="W31" s="203"/>
      <c r="X31" s="203"/>
      <c r="Y31" s="203"/>
      <c r="Z31" s="203"/>
    </row>
    <row r="32" spans="1:26" s="210" customFormat="1" ht="33" hidden="1">
      <c r="A32" s="246" t="s">
        <v>98</v>
      </c>
      <c r="B32" s="22" t="s">
        <v>335</v>
      </c>
      <c r="C32" s="23"/>
      <c r="D32" s="24"/>
      <c r="E32" s="25">
        <f>SUM(E33:E127)</f>
        <v>743037.98175500031</v>
      </c>
      <c r="F32" s="25">
        <f t="shared" ref="F32:N32" si="7">SUM(F33:F127)</f>
        <v>322381.93400000001</v>
      </c>
      <c r="G32" s="25">
        <f t="shared" si="7"/>
        <v>381116.87375500007</v>
      </c>
      <c r="H32" s="25">
        <f t="shared" si="7"/>
        <v>39539.173999999992</v>
      </c>
      <c r="I32" s="25">
        <f t="shared" si="7"/>
        <v>609770.63453999988</v>
      </c>
      <c r="J32" s="25">
        <f t="shared" si="7"/>
        <v>313153.97248500009</v>
      </c>
      <c r="K32" s="25">
        <f t="shared" si="7"/>
        <v>607948.37170435023</v>
      </c>
      <c r="L32" s="25">
        <f t="shared" si="7"/>
        <v>575922.77766435</v>
      </c>
      <c r="M32" s="25">
        <f t="shared" si="7"/>
        <v>185669.29099999994</v>
      </c>
      <c r="N32" s="25">
        <f t="shared" si="7"/>
        <v>278297.3976093501</v>
      </c>
      <c r="O32" s="211"/>
      <c r="Q32" s="211"/>
      <c r="R32" s="211"/>
      <c r="S32" s="211"/>
      <c r="T32" s="211"/>
      <c r="U32" s="211"/>
      <c r="V32" s="211"/>
      <c r="W32" s="211"/>
      <c r="X32" s="211"/>
      <c r="Y32" s="211"/>
      <c r="Z32" s="211"/>
    </row>
    <row r="33" spans="1:26" s="259" customFormat="1" ht="82.5" hidden="1">
      <c r="A33" s="114" t="s">
        <v>21</v>
      </c>
      <c r="B33" s="262" t="s">
        <v>126</v>
      </c>
      <c r="C33" s="114" t="s">
        <v>127</v>
      </c>
      <c r="D33" s="96" t="s">
        <v>128</v>
      </c>
      <c r="E33" s="91">
        <f t="shared" ref="E33:E96" si="8">F33+G33+H33</f>
        <v>1080.184</v>
      </c>
      <c r="F33" s="79"/>
      <c r="G33" s="79">
        <v>1080.184</v>
      </c>
      <c r="H33" s="79"/>
      <c r="I33" s="79">
        <v>977.07799999999997</v>
      </c>
      <c r="J33" s="79">
        <v>977.07799999999997</v>
      </c>
      <c r="K33" s="79">
        <v>977.07799999999997</v>
      </c>
      <c r="L33" s="79">
        <v>977.07799999999997</v>
      </c>
      <c r="M33" s="91">
        <f>J33</f>
        <v>977.07799999999997</v>
      </c>
      <c r="N33" s="91">
        <f>J33</f>
        <v>977.07799999999997</v>
      </c>
      <c r="O33" s="79"/>
      <c r="Q33" s="260"/>
      <c r="R33" s="260">
        <v>477.07799999999997</v>
      </c>
      <c r="S33" s="260"/>
      <c r="T33" s="260"/>
      <c r="U33" s="260"/>
      <c r="V33" s="260"/>
      <c r="W33" s="260"/>
      <c r="X33" s="260"/>
      <c r="Y33" s="260"/>
      <c r="Z33" s="260"/>
    </row>
    <row r="34" spans="1:26" s="259" customFormat="1" ht="66" hidden="1">
      <c r="A34" s="114" t="s">
        <v>28</v>
      </c>
      <c r="B34" s="262" t="s">
        <v>129</v>
      </c>
      <c r="C34" s="114" t="s">
        <v>127</v>
      </c>
      <c r="D34" s="96" t="s">
        <v>130</v>
      </c>
      <c r="E34" s="91">
        <f t="shared" si="8"/>
        <v>992.81899999999996</v>
      </c>
      <c r="F34" s="79"/>
      <c r="G34" s="79">
        <v>992.81899999999996</v>
      </c>
      <c r="H34" s="79"/>
      <c r="I34" s="79">
        <v>885.44299999999998</v>
      </c>
      <c r="J34" s="79">
        <v>885.44299999999998</v>
      </c>
      <c r="K34" s="79">
        <v>885.44299999999998</v>
      </c>
      <c r="L34" s="79">
        <v>885.44299999999998</v>
      </c>
      <c r="M34" s="91">
        <f>J34</f>
        <v>885.44299999999998</v>
      </c>
      <c r="N34" s="91">
        <f>J34</f>
        <v>885.44299999999998</v>
      </c>
      <c r="O34" s="79"/>
      <c r="Q34" s="260">
        <v>500</v>
      </c>
      <c r="R34" s="260">
        <v>385.44299999999998</v>
      </c>
      <c r="S34" s="260"/>
      <c r="T34" s="260"/>
      <c r="U34" s="260"/>
      <c r="V34" s="260"/>
      <c r="W34" s="260"/>
      <c r="X34" s="260"/>
      <c r="Y34" s="260"/>
      <c r="Z34" s="260"/>
    </row>
    <row r="35" spans="1:26" s="216" customFormat="1" ht="66">
      <c r="A35" s="114" t="s">
        <v>24</v>
      </c>
      <c r="B35" s="262" t="s">
        <v>142</v>
      </c>
      <c r="C35" s="93" t="s">
        <v>127</v>
      </c>
      <c r="D35" s="96" t="s">
        <v>143</v>
      </c>
      <c r="E35" s="91">
        <f t="shared" si="8"/>
        <v>2843</v>
      </c>
      <c r="F35" s="95">
        <f>2843-300</f>
        <v>2543</v>
      </c>
      <c r="G35" s="95">
        <v>300</v>
      </c>
      <c r="H35" s="97"/>
      <c r="I35" s="106">
        <v>2376.1350000000002</v>
      </c>
      <c r="J35" s="97">
        <v>300</v>
      </c>
      <c r="K35" s="106">
        <v>2376.1350000000002</v>
      </c>
      <c r="L35" s="106">
        <v>2376.1350000000002</v>
      </c>
      <c r="M35" s="91">
        <f>J35</f>
        <v>300</v>
      </c>
      <c r="N35" s="91">
        <f>J35</f>
        <v>300</v>
      </c>
      <c r="O35" s="97"/>
      <c r="P35" s="216">
        <v>1</v>
      </c>
      <c r="Q35" s="217"/>
      <c r="R35" s="217">
        <v>100</v>
      </c>
      <c r="S35" s="217"/>
      <c r="T35" s="217">
        <v>200</v>
      </c>
      <c r="U35" s="217"/>
      <c r="V35" s="217"/>
      <c r="W35" s="217"/>
      <c r="X35" s="217"/>
      <c r="Y35" s="217"/>
      <c r="Z35" s="217"/>
    </row>
    <row r="36" spans="1:26" s="216" customFormat="1" ht="33" hidden="1">
      <c r="A36" s="114"/>
      <c r="B36" s="262" t="s">
        <v>853</v>
      </c>
      <c r="C36" s="93"/>
      <c r="D36" s="96"/>
      <c r="E36" s="91"/>
      <c r="F36" s="95"/>
      <c r="G36" s="95"/>
      <c r="H36" s="97"/>
      <c r="I36" s="106"/>
      <c r="J36" s="97">
        <v>100</v>
      </c>
      <c r="K36" s="106"/>
      <c r="L36" s="106"/>
      <c r="M36" s="91">
        <v>100</v>
      </c>
      <c r="N36" s="91">
        <v>100</v>
      </c>
      <c r="O36" s="97"/>
      <c r="Q36" s="217">
        <v>100</v>
      </c>
      <c r="R36" s="217"/>
      <c r="S36" s="217"/>
      <c r="T36" s="217"/>
      <c r="U36" s="217"/>
      <c r="V36" s="217"/>
      <c r="W36" s="217"/>
      <c r="X36" s="217"/>
      <c r="Y36" s="217"/>
      <c r="Z36" s="217"/>
    </row>
    <row r="37" spans="1:26" s="83" customFormat="1" ht="66">
      <c r="A37" s="114"/>
      <c r="B37" s="58" t="s">
        <v>748</v>
      </c>
      <c r="C37" s="64">
        <v>2016</v>
      </c>
      <c r="D37" s="109" t="s">
        <v>749</v>
      </c>
      <c r="E37" s="91">
        <v>264</v>
      </c>
      <c r="F37" s="49"/>
      <c r="G37" s="164">
        <f>+E37</f>
        <v>264</v>
      </c>
      <c r="H37" s="144"/>
      <c r="I37" s="113">
        <v>238.976</v>
      </c>
      <c r="J37" s="113">
        <v>238.976</v>
      </c>
      <c r="K37" s="113">
        <v>238.976</v>
      </c>
      <c r="L37" s="113">
        <v>238.976</v>
      </c>
      <c r="M37" s="113">
        <v>238.976</v>
      </c>
      <c r="N37" s="113">
        <v>238.976</v>
      </c>
      <c r="O37" s="163"/>
      <c r="P37" s="83">
        <v>1</v>
      </c>
      <c r="Q37" s="82">
        <v>200</v>
      </c>
      <c r="R37" s="82">
        <v>38.975999999999999</v>
      </c>
      <c r="S37" s="82"/>
      <c r="T37" s="82"/>
      <c r="U37" s="82"/>
      <c r="V37" s="82"/>
      <c r="W37" s="82"/>
      <c r="X37" s="82"/>
      <c r="Y37" s="82"/>
      <c r="Z37" s="82"/>
    </row>
    <row r="38" spans="1:26" s="83" customFormat="1" ht="16.5">
      <c r="A38" s="114"/>
      <c r="B38" s="58" t="s">
        <v>797</v>
      </c>
      <c r="C38" s="64"/>
      <c r="D38" s="109"/>
      <c r="E38" s="91"/>
      <c r="F38" s="49"/>
      <c r="G38" s="164"/>
      <c r="H38" s="144"/>
      <c r="I38" s="113"/>
      <c r="J38" s="113">
        <v>100</v>
      </c>
      <c r="K38" s="113"/>
      <c r="L38" s="113"/>
      <c r="M38" s="91">
        <v>100</v>
      </c>
      <c r="N38" s="91">
        <v>100</v>
      </c>
      <c r="O38" s="97"/>
      <c r="P38" s="216">
        <v>1</v>
      </c>
      <c r="Q38" s="217">
        <v>100</v>
      </c>
      <c r="R38" s="82"/>
      <c r="S38" s="82"/>
      <c r="T38" s="82"/>
      <c r="U38" s="82"/>
      <c r="V38" s="82"/>
      <c r="W38" s="82"/>
      <c r="X38" s="82"/>
      <c r="Y38" s="82"/>
      <c r="Z38" s="82"/>
    </row>
    <row r="39" spans="1:26" s="216" customFormat="1" ht="16.5" hidden="1">
      <c r="A39" s="114"/>
      <c r="B39" s="262" t="s">
        <v>796</v>
      </c>
      <c r="C39" s="93"/>
      <c r="D39" s="96"/>
      <c r="E39" s="91"/>
      <c r="F39" s="95"/>
      <c r="G39" s="95"/>
      <c r="H39" s="97"/>
      <c r="I39" s="106"/>
      <c r="J39" s="97">
        <v>100</v>
      </c>
      <c r="K39" s="106"/>
      <c r="L39" s="106"/>
      <c r="M39" s="91">
        <v>100</v>
      </c>
      <c r="N39" s="91">
        <v>100</v>
      </c>
      <c r="O39" s="97"/>
      <c r="Q39" s="217">
        <v>100</v>
      </c>
      <c r="R39" s="217"/>
      <c r="S39" s="217"/>
      <c r="T39" s="217"/>
      <c r="U39" s="217"/>
      <c r="V39" s="217"/>
      <c r="W39" s="217"/>
      <c r="X39" s="217"/>
      <c r="Y39" s="217"/>
      <c r="Z39" s="217"/>
    </row>
    <row r="40" spans="1:26" s="216" customFormat="1" ht="33" hidden="1">
      <c r="A40" s="114"/>
      <c r="B40" s="262" t="s">
        <v>798</v>
      </c>
      <c r="C40" s="93"/>
      <c r="D40" s="96"/>
      <c r="E40" s="91"/>
      <c r="F40" s="95"/>
      <c r="G40" s="95"/>
      <c r="H40" s="97"/>
      <c r="I40" s="106"/>
      <c r="J40" s="97">
        <v>183.50800000000001</v>
      </c>
      <c r="K40" s="106"/>
      <c r="L40" s="106"/>
      <c r="M40" s="97">
        <v>183.50800000000001</v>
      </c>
      <c r="N40" s="97">
        <v>183.50800000000001</v>
      </c>
      <c r="O40" s="97"/>
      <c r="Q40" s="97"/>
      <c r="R40" s="97">
        <v>183.50800000000001</v>
      </c>
      <c r="S40" s="97"/>
      <c r="T40" s="217"/>
      <c r="U40" s="217"/>
      <c r="V40" s="217"/>
      <c r="W40" s="217"/>
      <c r="X40" s="217"/>
      <c r="Y40" s="217"/>
      <c r="Z40" s="217"/>
    </row>
    <row r="41" spans="1:26" s="27" customFormat="1" ht="66" hidden="1">
      <c r="A41" s="114" t="s">
        <v>25</v>
      </c>
      <c r="B41" s="115" t="s">
        <v>191</v>
      </c>
      <c r="C41" s="116" t="s">
        <v>192</v>
      </c>
      <c r="D41" s="96" t="s">
        <v>193</v>
      </c>
      <c r="E41" s="91">
        <f>F41+G41+H41</f>
        <v>212219.05900000001</v>
      </c>
      <c r="F41" s="117">
        <f>212219.059-424</f>
        <v>211795.05900000001</v>
      </c>
      <c r="G41" s="117">
        <v>424</v>
      </c>
      <c r="H41" s="117"/>
      <c r="I41" s="117">
        <f>173463.785+26+(18200-7317.028)+166</f>
        <v>184538.75700000001</v>
      </c>
      <c r="J41" s="117">
        <v>424</v>
      </c>
      <c r="K41" s="117">
        <f>195017.299*97%</f>
        <v>189166.78002999999</v>
      </c>
      <c r="L41" s="117">
        <f>173463.785+26+(18200-7317.028)+166</f>
        <v>184538.75700000001</v>
      </c>
      <c r="M41" s="124">
        <f t="shared" ref="M41:M50" si="9">J41</f>
        <v>424</v>
      </c>
      <c r="N41" s="124">
        <f t="shared" ref="N41:N52" si="10">J41</f>
        <v>424</v>
      </c>
      <c r="O41" s="117"/>
      <c r="Q41" s="204"/>
      <c r="R41" s="204"/>
      <c r="S41" s="204"/>
      <c r="T41" s="204"/>
      <c r="U41" s="204"/>
      <c r="V41" s="204"/>
      <c r="W41" s="204"/>
      <c r="X41" s="204"/>
      <c r="Y41" s="204"/>
      <c r="Z41" s="204"/>
    </row>
    <row r="42" spans="1:26" s="28" customFormat="1" ht="66" hidden="1">
      <c r="A42" s="114" t="s">
        <v>27</v>
      </c>
      <c r="B42" s="88" t="s">
        <v>145</v>
      </c>
      <c r="C42" s="64" t="s">
        <v>144</v>
      </c>
      <c r="D42" s="44" t="s">
        <v>146</v>
      </c>
      <c r="E42" s="91">
        <f t="shared" si="8"/>
        <v>1182.7080000000001</v>
      </c>
      <c r="F42" s="120"/>
      <c r="G42" s="120">
        <v>1182.7080000000001</v>
      </c>
      <c r="H42" s="120"/>
      <c r="I42" s="120">
        <v>1062.4559999999999</v>
      </c>
      <c r="J42" s="120">
        <v>1062.4559999999999</v>
      </c>
      <c r="K42" s="120">
        <v>1062.4559999999999</v>
      </c>
      <c r="L42" s="120">
        <v>1062.4559999999999</v>
      </c>
      <c r="M42" s="91">
        <f t="shared" si="9"/>
        <v>1062.4559999999999</v>
      </c>
      <c r="N42" s="91">
        <f t="shared" si="10"/>
        <v>1062.4559999999999</v>
      </c>
      <c r="O42" s="119"/>
      <c r="Q42" s="205"/>
      <c r="R42" s="205">
        <v>500</v>
      </c>
      <c r="S42" s="205"/>
      <c r="T42" s="205">
        <v>562.45600000000002</v>
      </c>
      <c r="U42" s="205"/>
      <c r="V42" s="205"/>
      <c r="W42" s="205"/>
      <c r="X42" s="205"/>
      <c r="Y42" s="205"/>
      <c r="Z42" s="205"/>
    </row>
    <row r="43" spans="1:26" s="28" customFormat="1" ht="66">
      <c r="A43" s="114" t="s">
        <v>47</v>
      </c>
      <c r="B43" s="88" t="s">
        <v>147</v>
      </c>
      <c r="C43" s="263" t="s">
        <v>144</v>
      </c>
      <c r="D43" s="114" t="s">
        <v>148</v>
      </c>
      <c r="E43" s="91">
        <f t="shared" si="8"/>
        <v>766.64</v>
      </c>
      <c r="F43" s="120"/>
      <c r="G43" s="120">
        <v>766.64</v>
      </c>
      <c r="H43" s="120"/>
      <c r="I43" s="91">
        <v>682.33699999999999</v>
      </c>
      <c r="J43" s="91">
        <v>682.33699999999999</v>
      </c>
      <c r="K43" s="91">
        <v>682.33699999999999</v>
      </c>
      <c r="L43" s="91">
        <v>682.33699999999999</v>
      </c>
      <c r="M43" s="91">
        <f t="shared" si="9"/>
        <v>682.33699999999999</v>
      </c>
      <c r="N43" s="91">
        <f t="shared" si="10"/>
        <v>682.33699999999999</v>
      </c>
      <c r="O43" s="113"/>
      <c r="P43" s="28">
        <v>1</v>
      </c>
      <c r="Q43" s="205"/>
      <c r="R43" s="205"/>
      <c r="S43" s="205"/>
      <c r="T43" s="205">
        <v>182</v>
      </c>
      <c r="U43" s="205"/>
      <c r="V43" s="205"/>
      <c r="W43" s="205"/>
      <c r="X43" s="205"/>
      <c r="Y43" s="205"/>
      <c r="Z43" s="205"/>
    </row>
    <row r="44" spans="1:26" s="28" customFormat="1" ht="66" hidden="1">
      <c r="A44" s="114" t="s">
        <v>49</v>
      </c>
      <c r="B44" s="88" t="s">
        <v>151</v>
      </c>
      <c r="C44" s="64" t="s">
        <v>144</v>
      </c>
      <c r="D44" s="44" t="s">
        <v>152</v>
      </c>
      <c r="E44" s="91">
        <f t="shared" si="8"/>
        <v>1172.681</v>
      </c>
      <c r="F44" s="124"/>
      <c r="G44" s="113">
        <v>1172.681</v>
      </c>
      <c r="H44" s="113"/>
      <c r="I44" s="101">
        <v>1105.742</v>
      </c>
      <c r="J44" s="101">
        <v>1105.742</v>
      </c>
      <c r="K44" s="101">
        <v>1105.742</v>
      </c>
      <c r="L44" s="101">
        <v>1105.742</v>
      </c>
      <c r="M44" s="91">
        <f t="shared" si="9"/>
        <v>1105.742</v>
      </c>
      <c r="N44" s="91">
        <f t="shared" si="10"/>
        <v>1105.742</v>
      </c>
      <c r="O44" s="121"/>
      <c r="Q44" s="205"/>
      <c r="R44" s="205"/>
      <c r="S44" s="205"/>
      <c r="T44" s="205">
        <v>300</v>
      </c>
      <c r="U44" s="205">
        <v>35.741999999999997</v>
      </c>
      <c r="V44" s="205"/>
      <c r="W44" s="205"/>
      <c r="X44" s="205"/>
      <c r="Y44" s="205"/>
      <c r="Z44" s="205"/>
    </row>
    <row r="45" spans="1:26" s="28" customFormat="1" ht="82.5" hidden="1">
      <c r="A45" s="114" t="s">
        <v>50</v>
      </c>
      <c r="B45" s="122" t="s">
        <v>153</v>
      </c>
      <c r="C45" s="64" t="s">
        <v>144</v>
      </c>
      <c r="D45" s="44" t="s">
        <v>154</v>
      </c>
      <c r="E45" s="91">
        <f t="shared" si="8"/>
        <v>2174.0770000000002</v>
      </c>
      <c r="F45" s="124">
        <v>700</v>
      </c>
      <c r="G45" s="113">
        <f>2174.077-700</f>
        <v>1474.0770000000002</v>
      </c>
      <c r="H45" s="113"/>
      <c r="I45" s="79">
        <v>2165.3560000000002</v>
      </c>
      <c r="J45" s="79">
        <f>2165.356-700</f>
        <v>1465.3560000000002</v>
      </c>
      <c r="K45" s="79">
        <v>2165.3560000000002</v>
      </c>
      <c r="L45" s="79">
        <v>2165.3560000000002</v>
      </c>
      <c r="M45" s="91">
        <f t="shared" si="9"/>
        <v>1465.3560000000002</v>
      </c>
      <c r="N45" s="91">
        <f t="shared" si="10"/>
        <v>1465.3560000000002</v>
      </c>
      <c r="O45" s="121"/>
      <c r="Q45" s="205"/>
      <c r="R45" s="205"/>
      <c r="S45" s="205"/>
      <c r="T45" s="205"/>
      <c r="U45" s="205"/>
      <c r="V45" s="205"/>
      <c r="W45" s="205"/>
      <c r="X45" s="205">
        <v>465.36500000000001</v>
      </c>
      <c r="Y45" s="205"/>
      <c r="Z45" s="205"/>
    </row>
    <row r="46" spans="1:26" s="29" customFormat="1" ht="66" hidden="1">
      <c r="A46" s="114" t="s">
        <v>51</v>
      </c>
      <c r="B46" s="42" t="s">
        <v>194</v>
      </c>
      <c r="C46" s="64" t="s">
        <v>144</v>
      </c>
      <c r="D46" s="123" t="s">
        <v>195</v>
      </c>
      <c r="E46" s="91">
        <f>F46+G46+H46</f>
        <v>1274.9359999999999</v>
      </c>
      <c r="F46" s="113">
        <v>700</v>
      </c>
      <c r="G46" s="113">
        <f>1274.936-F46</f>
        <v>574.93599999999992</v>
      </c>
      <c r="H46" s="124"/>
      <c r="I46" s="124">
        <v>1164.462</v>
      </c>
      <c r="J46" s="124">
        <f>1164.462-700</f>
        <v>464.46199999999999</v>
      </c>
      <c r="K46" s="124">
        <v>1164.462</v>
      </c>
      <c r="L46" s="124">
        <v>1164.462</v>
      </c>
      <c r="M46" s="124">
        <f t="shared" si="9"/>
        <v>464.46199999999999</v>
      </c>
      <c r="N46" s="124">
        <f t="shared" si="10"/>
        <v>464.46199999999999</v>
      </c>
      <c r="O46" s="117"/>
      <c r="Q46" s="206"/>
      <c r="R46" s="206"/>
      <c r="S46" s="206"/>
      <c r="T46" s="206">
        <v>300</v>
      </c>
      <c r="U46" s="206">
        <v>164.46199999999999</v>
      </c>
      <c r="V46" s="206"/>
      <c r="W46" s="206"/>
      <c r="X46" s="206"/>
      <c r="Y46" s="206"/>
      <c r="Z46" s="206"/>
    </row>
    <row r="47" spans="1:26" s="220" customFormat="1" ht="82.5" hidden="1">
      <c r="A47" s="114" t="s">
        <v>53</v>
      </c>
      <c r="B47" s="125" t="s">
        <v>149</v>
      </c>
      <c r="C47" s="126" t="s">
        <v>144</v>
      </c>
      <c r="D47" s="44" t="s">
        <v>150</v>
      </c>
      <c r="E47" s="91">
        <f>F47+G47+H47</f>
        <v>1075.9659999999999</v>
      </c>
      <c r="F47" s="91"/>
      <c r="G47" s="127">
        <f>1075.966-H47</f>
        <v>873.79299999999989</v>
      </c>
      <c r="H47" s="91">
        <f>1010.863-808.69</f>
        <v>202.173</v>
      </c>
      <c r="I47" s="91">
        <v>808.69</v>
      </c>
      <c r="J47" s="91">
        <v>808.69</v>
      </c>
      <c r="K47" s="91">
        <v>1010.8630000000001</v>
      </c>
      <c r="L47" s="91">
        <v>808.69</v>
      </c>
      <c r="M47" s="124">
        <f t="shared" si="9"/>
        <v>808.69</v>
      </c>
      <c r="N47" s="124">
        <f t="shared" si="10"/>
        <v>808.69</v>
      </c>
      <c r="O47" s="127" t="s">
        <v>196</v>
      </c>
      <c r="Q47" s="221"/>
      <c r="R47" s="221">
        <v>50</v>
      </c>
      <c r="S47" s="221"/>
      <c r="T47" s="221"/>
      <c r="U47" s="221"/>
      <c r="V47" s="221">
        <v>458.69</v>
      </c>
      <c r="W47" s="221"/>
      <c r="X47" s="221"/>
      <c r="Y47" s="221"/>
      <c r="Z47" s="221"/>
    </row>
    <row r="48" spans="1:26" s="29" customFormat="1" ht="66" hidden="1">
      <c r="A48" s="114" t="s">
        <v>55</v>
      </c>
      <c r="B48" s="128" t="s">
        <v>166</v>
      </c>
      <c r="C48" s="129" t="s">
        <v>144</v>
      </c>
      <c r="D48" s="129" t="s">
        <v>167</v>
      </c>
      <c r="E48" s="91">
        <f>F48+G48+H48</f>
        <v>4973.5249999999996</v>
      </c>
      <c r="F48" s="113">
        <f>4973.525-(1279.033+49.713)</f>
        <v>3644.7789999999995</v>
      </c>
      <c r="G48" s="113">
        <f>1279.033+49.713</f>
        <v>1328.7459999999999</v>
      </c>
      <c r="H48" s="113"/>
      <c r="I48" s="113">
        <v>3823.5250000000001</v>
      </c>
      <c r="J48" s="113">
        <f>1279.033+49.713</f>
        <v>1328.7459999999999</v>
      </c>
      <c r="K48" s="113">
        <v>3823.5250000000001</v>
      </c>
      <c r="L48" s="113">
        <v>3823.5250000000001</v>
      </c>
      <c r="M48" s="124">
        <f t="shared" si="9"/>
        <v>1328.7459999999999</v>
      </c>
      <c r="N48" s="124">
        <f t="shared" si="10"/>
        <v>1328.7459999999999</v>
      </c>
      <c r="O48" s="113"/>
      <c r="Q48" s="206"/>
      <c r="R48" s="206"/>
      <c r="S48" s="206"/>
      <c r="T48" s="206">
        <v>600</v>
      </c>
      <c r="U48" s="206">
        <v>728.476</v>
      </c>
      <c r="V48" s="206"/>
      <c r="W48" s="206"/>
      <c r="X48" s="206"/>
      <c r="Y48" s="206"/>
      <c r="Z48" s="206"/>
    </row>
    <row r="49" spans="1:26" s="83" customFormat="1" ht="66">
      <c r="A49" s="114" t="s">
        <v>56</v>
      </c>
      <c r="B49" s="115" t="s">
        <v>197</v>
      </c>
      <c r="C49" s="130" t="s">
        <v>156</v>
      </c>
      <c r="D49" s="44" t="s">
        <v>198</v>
      </c>
      <c r="E49" s="91">
        <f>F49+G49+H49</f>
        <v>26926.063999999998</v>
      </c>
      <c r="F49" s="131"/>
      <c r="G49" s="132">
        <v>4500</v>
      </c>
      <c r="H49" s="132">
        <f>26926.064-4500</f>
        <v>22426.063999999998</v>
      </c>
      <c r="I49" s="132">
        <f>23310.193-15.047</f>
        <v>23295.146000000001</v>
      </c>
      <c r="J49" s="132">
        <f>3000+1500</f>
        <v>4500</v>
      </c>
      <c r="K49" s="132">
        <f>23310.193-15.047</f>
        <v>23295.146000000001</v>
      </c>
      <c r="L49" s="132">
        <f>23310.193-15.047</f>
        <v>23295.146000000001</v>
      </c>
      <c r="M49" s="124">
        <f t="shared" si="9"/>
        <v>4500</v>
      </c>
      <c r="N49" s="124">
        <f t="shared" si="10"/>
        <v>4500</v>
      </c>
      <c r="O49" s="132"/>
      <c r="P49" s="83">
        <v>1</v>
      </c>
      <c r="Q49" s="82"/>
      <c r="R49" s="82"/>
      <c r="S49" s="82"/>
      <c r="T49" s="82"/>
      <c r="U49" s="82">
        <v>3000</v>
      </c>
      <c r="V49" s="82">
        <v>1500</v>
      </c>
      <c r="W49" s="82"/>
      <c r="X49" s="82"/>
      <c r="Y49" s="82"/>
      <c r="Z49" s="82"/>
    </row>
    <row r="50" spans="1:26" s="210" customFormat="1" ht="66" hidden="1">
      <c r="A50" s="114" t="s">
        <v>57</v>
      </c>
      <c r="B50" s="133" t="s">
        <v>155</v>
      </c>
      <c r="C50" s="64" t="s">
        <v>156</v>
      </c>
      <c r="D50" s="44" t="s">
        <v>157</v>
      </c>
      <c r="E50" s="91">
        <f t="shared" si="8"/>
        <v>5297.7730000000001</v>
      </c>
      <c r="F50" s="124">
        <v>1500</v>
      </c>
      <c r="G50" s="124">
        <f>5297.773-1500</f>
        <v>3797.7730000000001</v>
      </c>
      <c r="H50" s="124"/>
      <c r="I50" s="91">
        <v>5124.3329999999996</v>
      </c>
      <c r="J50" s="91">
        <f>5124.333-1500</f>
        <v>3624.3329999999996</v>
      </c>
      <c r="K50" s="91">
        <v>5124.3329999999996</v>
      </c>
      <c r="L50" s="91">
        <v>5124.3329999999996</v>
      </c>
      <c r="M50" s="91">
        <f t="shared" si="9"/>
        <v>3624.3329999999996</v>
      </c>
      <c r="N50" s="91">
        <f t="shared" si="10"/>
        <v>3624.3329999999996</v>
      </c>
      <c r="O50" s="124"/>
      <c r="Q50" s="211"/>
      <c r="R50" s="211"/>
      <c r="S50" s="211"/>
      <c r="T50" s="211">
        <v>500</v>
      </c>
      <c r="U50" s="211">
        <v>1030</v>
      </c>
      <c r="V50" s="211">
        <v>894.33299999999997</v>
      </c>
      <c r="W50" s="211"/>
      <c r="X50" s="211"/>
      <c r="Y50" s="211"/>
      <c r="Z50" s="211"/>
    </row>
    <row r="51" spans="1:26" s="210" customFormat="1" ht="66">
      <c r="A51" s="114" t="s">
        <v>58</v>
      </c>
      <c r="B51" s="133" t="s">
        <v>158</v>
      </c>
      <c r="C51" s="64" t="s">
        <v>156</v>
      </c>
      <c r="D51" s="44" t="s">
        <v>159</v>
      </c>
      <c r="E51" s="91">
        <f t="shared" si="8"/>
        <v>2828.0059999999999</v>
      </c>
      <c r="F51" s="132">
        <v>1300</v>
      </c>
      <c r="G51" s="124">
        <f>2828.006-1300</f>
        <v>1528.0059999999999</v>
      </c>
      <c r="H51" s="132"/>
      <c r="I51" s="124">
        <v>2652.5709999999999</v>
      </c>
      <c r="J51" s="124">
        <f>2652.571-1300</f>
        <v>1352.5709999999999</v>
      </c>
      <c r="K51" s="124">
        <v>2652.5709999999999</v>
      </c>
      <c r="L51" s="124">
        <v>2652.5709999999999</v>
      </c>
      <c r="M51" s="91">
        <f>J51-66.571</f>
        <v>1286</v>
      </c>
      <c r="N51" s="91">
        <f t="shared" si="10"/>
        <v>1352.5709999999999</v>
      </c>
      <c r="O51" s="134"/>
      <c r="P51" s="210">
        <v>1</v>
      </c>
      <c r="Q51" s="211"/>
      <c r="R51" s="211"/>
      <c r="S51" s="211"/>
      <c r="T51" s="211"/>
      <c r="U51" s="211"/>
      <c r="V51" s="211"/>
      <c r="W51" s="211"/>
      <c r="X51" s="211"/>
      <c r="Y51" s="211"/>
      <c r="Z51" s="211"/>
    </row>
    <row r="52" spans="1:26" s="210" customFormat="1" ht="115.5">
      <c r="A52" s="114" t="s">
        <v>59</v>
      </c>
      <c r="B52" s="135" t="s">
        <v>160</v>
      </c>
      <c r="C52" s="64" t="s">
        <v>156</v>
      </c>
      <c r="D52" s="136" t="s">
        <v>161</v>
      </c>
      <c r="E52" s="91">
        <f t="shared" si="8"/>
        <v>11372.697</v>
      </c>
      <c r="F52" s="137">
        <v>1000</v>
      </c>
      <c r="G52" s="124">
        <f>11372.697-H52-F52</f>
        <v>5560.0410000000002</v>
      </c>
      <c r="H52" s="137">
        <v>4812.6559999999999</v>
      </c>
      <c r="I52" s="124">
        <f>5009.579+382+4500</f>
        <v>9891.5789999999997</v>
      </c>
      <c r="J52" s="124">
        <f>5009.579+382-1000</f>
        <v>4391.5789999999997</v>
      </c>
      <c r="K52" s="124">
        <v>10210.790000000001</v>
      </c>
      <c r="L52" s="124">
        <f>5009.579+382+4500</f>
        <v>9891.5789999999997</v>
      </c>
      <c r="M52" s="124">
        <f>J52-382</f>
        <v>4009.5789999999997</v>
      </c>
      <c r="N52" s="91">
        <f t="shared" si="10"/>
        <v>4391.5789999999997</v>
      </c>
      <c r="O52" s="138" t="s">
        <v>328</v>
      </c>
      <c r="P52" s="210">
        <v>1</v>
      </c>
      <c r="Q52" s="211"/>
      <c r="R52" s="211"/>
      <c r="S52" s="211"/>
      <c r="T52" s="211">
        <v>2000</v>
      </c>
      <c r="U52" s="211">
        <v>1562.1969999999999</v>
      </c>
      <c r="V52" s="211"/>
      <c r="W52" s="211"/>
      <c r="X52" s="211">
        <v>139</v>
      </c>
      <c r="Y52" s="211"/>
      <c r="Z52" s="211">
        <v>382</v>
      </c>
    </row>
    <row r="53" spans="1:26" s="214" customFormat="1" ht="82.5">
      <c r="A53" s="114" t="s">
        <v>60</v>
      </c>
      <c r="B53" s="58" t="s">
        <v>786</v>
      </c>
      <c r="C53" s="64" t="s">
        <v>156</v>
      </c>
      <c r="D53" s="44" t="s">
        <v>162</v>
      </c>
      <c r="E53" s="91">
        <f t="shared" si="8"/>
        <v>3859.2719999999999</v>
      </c>
      <c r="F53" s="101"/>
      <c r="G53" s="101">
        <v>3859.2719999999999</v>
      </c>
      <c r="H53" s="101"/>
      <c r="I53" s="124">
        <v>3620.402</v>
      </c>
      <c r="J53" s="124">
        <v>3620.402</v>
      </c>
      <c r="K53" s="124">
        <v>3620.402</v>
      </c>
      <c r="L53" s="124">
        <v>3620.402</v>
      </c>
      <c r="M53" s="124">
        <v>3500</v>
      </c>
      <c r="N53" s="124">
        <v>3620.402</v>
      </c>
      <c r="O53" s="118"/>
      <c r="P53" s="214">
        <v>1</v>
      </c>
      <c r="Q53" s="215"/>
      <c r="R53" s="215"/>
      <c r="S53" s="215"/>
      <c r="T53" s="215">
        <v>500</v>
      </c>
      <c r="U53" s="215">
        <v>1000</v>
      </c>
      <c r="V53" s="215">
        <v>1000</v>
      </c>
      <c r="W53" s="215"/>
      <c r="X53" s="215"/>
      <c r="Y53" s="215"/>
      <c r="Z53" s="215">
        <v>120.402</v>
      </c>
    </row>
    <row r="54" spans="1:26" s="210" customFormat="1" ht="66">
      <c r="A54" s="114" t="s">
        <v>61</v>
      </c>
      <c r="B54" s="42" t="s">
        <v>168</v>
      </c>
      <c r="C54" s="64" t="s">
        <v>156</v>
      </c>
      <c r="D54" s="136" t="s">
        <v>169</v>
      </c>
      <c r="E54" s="91">
        <f t="shared" si="8"/>
        <v>4263.8050000000003</v>
      </c>
      <c r="F54" s="132">
        <f>2240+910</f>
        <v>3150</v>
      </c>
      <c r="G54" s="132">
        <f>4263.805-F54</f>
        <v>1113.8050000000003</v>
      </c>
      <c r="H54" s="132"/>
      <c r="I54" s="124">
        <v>3922.6434629999999</v>
      </c>
      <c r="J54" s="124">
        <f>711.995+48.005+12.643</f>
        <v>772.64300000000003</v>
      </c>
      <c r="K54" s="124">
        <v>3922.6434629999999</v>
      </c>
      <c r="L54" s="124">
        <v>3922.6434629999999</v>
      </c>
      <c r="M54" s="124">
        <f>711.995+48.005</f>
        <v>760</v>
      </c>
      <c r="N54" s="124">
        <f t="shared" ref="N54:N68" si="11">J54</f>
        <v>772.64300000000003</v>
      </c>
      <c r="O54" s="124"/>
      <c r="P54" s="210">
        <v>1</v>
      </c>
      <c r="Q54" s="211"/>
      <c r="R54" s="211"/>
      <c r="S54" s="211"/>
      <c r="T54" s="211">
        <v>300</v>
      </c>
      <c r="U54" s="211">
        <v>460</v>
      </c>
      <c r="V54" s="211"/>
      <c r="W54" s="211"/>
      <c r="X54" s="211"/>
      <c r="Y54" s="211"/>
      <c r="Z54" s="211">
        <v>12.643000000000001</v>
      </c>
    </row>
    <row r="55" spans="1:26" s="210" customFormat="1" ht="66">
      <c r="A55" s="114" t="s">
        <v>62</v>
      </c>
      <c r="B55" s="42" t="s">
        <v>170</v>
      </c>
      <c r="C55" s="64" t="s">
        <v>156</v>
      </c>
      <c r="D55" s="96" t="s">
        <v>171</v>
      </c>
      <c r="E55" s="91">
        <f t="shared" si="8"/>
        <v>2828.0059999999999</v>
      </c>
      <c r="F55" s="132">
        <f>1820+780</f>
        <v>2600</v>
      </c>
      <c r="G55" s="124">
        <f>2828.006-F55</f>
        <v>228.00599999999986</v>
      </c>
      <c r="H55" s="132"/>
      <c r="I55" s="132">
        <v>2830.5529999999999</v>
      </c>
      <c r="J55" s="132">
        <v>230.553</v>
      </c>
      <c r="K55" s="132">
        <v>2830.5529999999999</v>
      </c>
      <c r="L55" s="132">
        <v>2830.5529999999999</v>
      </c>
      <c r="M55" s="124">
        <f>J55</f>
        <v>230.553</v>
      </c>
      <c r="N55" s="124">
        <f t="shared" si="11"/>
        <v>230.553</v>
      </c>
      <c r="O55" s="264"/>
      <c r="P55" s="210">
        <v>1</v>
      </c>
      <c r="Q55" s="211"/>
      <c r="R55" s="211"/>
      <c r="S55" s="211"/>
      <c r="T55" s="211">
        <v>250</v>
      </c>
      <c r="U55" s="211"/>
      <c r="V55" s="211"/>
      <c r="W55" s="211"/>
      <c r="X55" s="211"/>
      <c r="Y55" s="211"/>
      <c r="Z55" s="211"/>
    </row>
    <row r="56" spans="1:26" s="210" customFormat="1" ht="82.5" hidden="1">
      <c r="A56" s="34" t="s">
        <v>329</v>
      </c>
      <c r="B56" s="139" t="s">
        <v>330</v>
      </c>
      <c r="C56" s="64" t="s">
        <v>156</v>
      </c>
      <c r="D56" s="44" t="s">
        <v>331</v>
      </c>
      <c r="E56" s="91">
        <f t="shared" si="8"/>
        <v>1019.986</v>
      </c>
      <c r="F56" s="132"/>
      <c r="G56" s="132">
        <f>1019.986-H56</f>
        <v>69.98599999999999</v>
      </c>
      <c r="H56" s="132">
        <v>950</v>
      </c>
      <c r="I56" s="132">
        <v>951.54499999999996</v>
      </c>
      <c r="J56" s="250">
        <v>1.5449999999999999</v>
      </c>
      <c r="K56" s="132">
        <v>951.54499999999996</v>
      </c>
      <c r="L56" s="132">
        <v>951.54499999999996</v>
      </c>
      <c r="M56" s="124"/>
      <c r="N56" s="251">
        <f t="shared" si="11"/>
        <v>1.5449999999999999</v>
      </c>
      <c r="O56" s="132"/>
      <c r="P56" s="198"/>
      <c r="Q56" s="53"/>
      <c r="R56" s="207"/>
      <c r="S56" s="207"/>
      <c r="T56" s="211"/>
      <c r="U56" s="211"/>
      <c r="V56" s="211"/>
      <c r="W56" s="211"/>
      <c r="X56" s="211"/>
      <c r="Y56" s="211"/>
      <c r="Z56" s="211">
        <v>1.5449999999999999</v>
      </c>
    </row>
    <row r="57" spans="1:26" s="210" customFormat="1" ht="82.5" hidden="1">
      <c r="A57" s="114" t="s">
        <v>63</v>
      </c>
      <c r="B57" s="133" t="s">
        <v>172</v>
      </c>
      <c r="C57" s="64" t="s">
        <v>173</v>
      </c>
      <c r="D57" s="44" t="s">
        <v>174</v>
      </c>
      <c r="E57" s="91">
        <f t="shared" si="8"/>
        <v>974.66899999999998</v>
      </c>
      <c r="F57" s="132"/>
      <c r="G57" s="132">
        <v>974.66899999999998</v>
      </c>
      <c r="H57" s="132"/>
      <c r="I57" s="132">
        <v>915.65700000000004</v>
      </c>
      <c r="J57" s="132">
        <v>915.65700000000004</v>
      </c>
      <c r="K57" s="132">
        <v>915.65700000000004</v>
      </c>
      <c r="L57" s="132">
        <v>915.65700000000004</v>
      </c>
      <c r="M57" s="124">
        <f t="shared" ref="M57:M62" si="12">J57</f>
        <v>915.65700000000004</v>
      </c>
      <c r="N57" s="124">
        <f t="shared" si="11"/>
        <v>915.65700000000004</v>
      </c>
      <c r="O57" s="132"/>
      <c r="Q57" s="211"/>
      <c r="R57" s="211"/>
      <c r="S57" s="211"/>
      <c r="T57" s="211">
        <v>700</v>
      </c>
      <c r="U57" s="211"/>
      <c r="V57" s="211">
        <v>215.65700000000001</v>
      </c>
      <c r="W57" s="211"/>
      <c r="X57" s="211"/>
      <c r="Y57" s="211"/>
      <c r="Z57" s="211"/>
    </row>
    <row r="58" spans="1:26" s="210" customFormat="1" ht="82.5" hidden="1">
      <c r="A58" s="114" t="s">
        <v>64</v>
      </c>
      <c r="B58" s="42" t="s">
        <v>175</v>
      </c>
      <c r="C58" s="64" t="s">
        <v>173</v>
      </c>
      <c r="D58" s="140" t="s">
        <v>176</v>
      </c>
      <c r="E58" s="91">
        <f t="shared" si="8"/>
        <v>8283.35</v>
      </c>
      <c r="F58" s="132"/>
      <c r="G58" s="132">
        <v>8283.35</v>
      </c>
      <c r="H58" s="132"/>
      <c r="I58" s="124">
        <v>7481.723</v>
      </c>
      <c r="J58" s="124">
        <v>7481.723</v>
      </c>
      <c r="K58" s="124">
        <v>7481.723</v>
      </c>
      <c r="L58" s="124">
        <v>7481.723</v>
      </c>
      <c r="M58" s="124">
        <f t="shared" si="12"/>
        <v>7481.723</v>
      </c>
      <c r="N58" s="124">
        <f t="shared" si="11"/>
        <v>7481.723</v>
      </c>
      <c r="O58" s="132"/>
      <c r="Q58" s="211"/>
      <c r="R58" s="211"/>
      <c r="S58" s="211"/>
      <c r="T58" s="211">
        <v>2000</v>
      </c>
      <c r="U58" s="211">
        <v>2000</v>
      </c>
      <c r="V58" s="211">
        <v>3482</v>
      </c>
      <c r="W58" s="211"/>
      <c r="X58" s="211"/>
      <c r="Y58" s="211"/>
      <c r="Z58" s="211"/>
    </row>
    <row r="59" spans="1:26" s="222" customFormat="1" ht="82.5" hidden="1">
      <c r="A59" s="114" t="s">
        <v>65</v>
      </c>
      <c r="B59" s="141" t="s">
        <v>177</v>
      </c>
      <c r="C59" s="104" t="s">
        <v>173</v>
      </c>
      <c r="D59" s="142" t="s">
        <v>178</v>
      </c>
      <c r="E59" s="91">
        <f t="shared" si="8"/>
        <v>1292.011</v>
      </c>
      <c r="F59" s="143"/>
      <c r="G59" s="143">
        <v>390.05700000000002</v>
      </c>
      <c r="H59" s="143">
        <f>1291.954-390</f>
        <v>901.95399999999995</v>
      </c>
      <c r="I59" s="101">
        <v>1140</v>
      </c>
      <c r="J59" s="101">
        <v>390</v>
      </c>
      <c r="K59" s="101">
        <v>1140.057</v>
      </c>
      <c r="L59" s="101">
        <v>1140</v>
      </c>
      <c r="M59" s="124">
        <f t="shared" si="12"/>
        <v>390</v>
      </c>
      <c r="N59" s="124">
        <f t="shared" si="11"/>
        <v>390</v>
      </c>
      <c r="O59" s="143"/>
      <c r="Q59" s="223"/>
      <c r="R59" s="223"/>
      <c r="S59" s="223"/>
      <c r="T59" s="223"/>
      <c r="U59" s="223">
        <v>390</v>
      </c>
      <c r="V59" s="223"/>
      <c r="W59" s="223"/>
      <c r="X59" s="223"/>
      <c r="Y59" s="223"/>
      <c r="Z59" s="223"/>
    </row>
    <row r="60" spans="1:26" s="222" customFormat="1" ht="66" hidden="1">
      <c r="A60" s="114" t="s">
        <v>66</v>
      </c>
      <c r="B60" s="108" t="s">
        <v>179</v>
      </c>
      <c r="C60" s="104" t="s">
        <v>173</v>
      </c>
      <c r="D60" s="109" t="s">
        <v>180</v>
      </c>
      <c r="E60" s="91">
        <f t="shared" si="8"/>
        <v>1489.6959999999999</v>
      </c>
      <c r="F60" s="144">
        <v>500</v>
      </c>
      <c r="G60" s="144">
        <f>1489.696-500</f>
        <v>989.69599999999991</v>
      </c>
      <c r="H60" s="101"/>
      <c r="I60" s="95">
        <v>1306.655</v>
      </c>
      <c r="J60" s="95">
        <f>1306.655-500</f>
        <v>806.65499999999997</v>
      </c>
      <c r="K60" s="95">
        <v>1306.655</v>
      </c>
      <c r="L60" s="95">
        <v>1306.655</v>
      </c>
      <c r="M60" s="124">
        <f t="shared" si="12"/>
        <v>806.65499999999997</v>
      </c>
      <c r="N60" s="124">
        <f t="shared" si="11"/>
        <v>806.65499999999997</v>
      </c>
      <c r="O60" s="101"/>
      <c r="Q60" s="223"/>
      <c r="R60" s="223"/>
      <c r="S60" s="223"/>
      <c r="T60" s="223"/>
      <c r="U60" s="223"/>
      <c r="V60" s="223">
        <v>340</v>
      </c>
      <c r="W60" s="223"/>
      <c r="X60" s="223">
        <v>466.65499999999997</v>
      </c>
      <c r="Y60" s="223"/>
      <c r="Z60" s="223"/>
    </row>
    <row r="61" spans="1:26" s="222" customFormat="1" ht="66" hidden="1">
      <c r="A61" s="114" t="s">
        <v>67</v>
      </c>
      <c r="B61" s="42" t="s">
        <v>181</v>
      </c>
      <c r="C61" s="64" t="s">
        <v>173</v>
      </c>
      <c r="D61" s="96" t="s">
        <v>182</v>
      </c>
      <c r="E61" s="91">
        <f t="shared" si="8"/>
        <v>25968.096000000001</v>
      </c>
      <c r="F61" s="107">
        <f>25968.096-5000</f>
        <v>20968.096000000001</v>
      </c>
      <c r="G61" s="107">
        <v>5000</v>
      </c>
      <c r="H61" s="107"/>
      <c r="I61" s="144">
        <f>24169.384-50.279408</f>
        <v>24119.104592</v>
      </c>
      <c r="J61" s="144">
        <v>5000</v>
      </c>
      <c r="K61" s="144">
        <f>24169.384-50.279408</f>
        <v>24119.104592</v>
      </c>
      <c r="L61" s="144">
        <f>24169.384-50.279408</f>
        <v>24119.104592</v>
      </c>
      <c r="M61" s="124">
        <f t="shared" si="12"/>
        <v>5000</v>
      </c>
      <c r="N61" s="124">
        <f t="shared" si="11"/>
        <v>5000</v>
      </c>
      <c r="O61" s="101"/>
      <c r="Q61" s="223"/>
      <c r="R61" s="223"/>
      <c r="S61" s="223"/>
      <c r="T61" s="223"/>
      <c r="U61" s="223">
        <v>3000</v>
      </c>
      <c r="V61" s="223">
        <v>2000</v>
      </c>
      <c r="W61" s="223"/>
      <c r="X61" s="223"/>
      <c r="Y61" s="223"/>
      <c r="Z61" s="223"/>
    </row>
    <row r="62" spans="1:26" s="222" customFormat="1" ht="66">
      <c r="A62" s="114" t="s">
        <v>68</v>
      </c>
      <c r="B62" s="108" t="s">
        <v>183</v>
      </c>
      <c r="C62" s="104" t="s">
        <v>173</v>
      </c>
      <c r="D62" s="109" t="s">
        <v>184</v>
      </c>
      <c r="E62" s="91">
        <f t="shared" si="8"/>
        <v>4180.4070000000002</v>
      </c>
      <c r="F62" s="144"/>
      <c r="G62" s="144">
        <v>4180.4070000000002</v>
      </c>
      <c r="H62" s="101"/>
      <c r="I62" s="195">
        <v>4017.8270000000002</v>
      </c>
      <c r="J62" s="195">
        <v>4017.8270000000002</v>
      </c>
      <c r="K62" s="195">
        <v>4017.8270000000002</v>
      </c>
      <c r="L62" s="195">
        <v>4017.8270000000002</v>
      </c>
      <c r="M62" s="124">
        <f t="shared" si="12"/>
        <v>4017.8270000000002</v>
      </c>
      <c r="N62" s="124">
        <f t="shared" si="11"/>
        <v>4017.8270000000002</v>
      </c>
      <c r="O62" s="101"/>
      <c r="P62" s="222">
        <v>1</v>
      </c>
      <c r="Q62" s="223"/>
      <c r="R62" s="223"/>
      <c r="S62" s="223"/>
      <c r="T62" s="223"/>
      <c r="U62" s="223">
        <v>486</v>
      </c>
      <c r="V62" s="223">
        <v>2000</v>
      </c>
      <c r="W62" s="223"/>
      <c r="X62" s="223"/>
      <c r="Y62" s="223">
        <v>517.827</v>
      </c>
      <c r="Z62" s="223">
        <v>66.570999999999998</v>
      </c>
    </row>
    <row r="63" spans="1:26" s="214" customFormat="1" ht="66" hidden="1">
      <c r="A63" s="114" t="s">
        <v>69</v>
      </c>
      <c r="B63" s="42" t="s">
        <v>201</v>
      </c>
      <c r="C63" s="145" t="s">
        <v>173</v>
      </c>
      <c r="D63" s="146" t="s">
        <v>202</v>
      </c>
      <c r="E63" s="91">
        <f>F63+G63+H63</f>
        <v>2767</v>
      </c>
      <c r="F63" s="147">
        <v>1000</v>
      </c>
      <c r="G63" s="124">
        <f>2767-F63</f>
        <v>1767</v>
      </c>
      <c r="H63" s="124"/>
      <c r="I63" s="124">
        <v>2641.3870000000002</v>
      </c>
      <c r="J63" s="124">
        <f>2641.387-1000</f>
        <v>1641.3870000000002</v>
      </c>
      <c r="K63" s="124">
        <v>2641.3870000000002</v>
      </c>
      <c r="L63" s="124">
        <v>2641.3870000000002</v>
      </c>
      <c r="M63" s="124">
        <v>1500</v>
      </c>
      <c r="N63" s="124">
        <f t="shared" si="11"/>
        <v>1641.3870000000002</v>
      </c>
      <c r="O63" s="124"/>
      <c r="Q63" s="215"/>
      <c r="R63" s="215"/>
      <c r="S63" s="215"/>
      <c r="T63" s="215"/>
      <c r="U63" s="215"/>
      <c r="V63" s="215">
        <v>1500</v>
      </c>
      <c r="W63" s="215"/>
      <c r="X63" s="215"/>
      <c r="Y63" s="215"/>
      <c r="Z63" s="215">
        <v>141.387</v>
      </c>
    </row>
    <row r="64" spans="1:26" s="222" customFormat="1" ht="82.5" hidden="1">
      <c r="A64" s="114" t="s">
        <v>70</v>
      </c>
      <c r="B64" s="148" t="s">
        <v>185</v>
      </c>
      <c r="C64" s="149" t="s">
        <v>186</v>
      </c>
      <c r="D64" s="109" t="s">
        <v>187</v>
      </c>
      <c r="E64" s="91">
        <f t="shared" si="8"/>
        <v>787.23900000000003</v>
      </c>
      <c r="F64" s="144"/>
      <c r="G64" s="144">
        <v>787.23900000000003</v>
      </c>
      <c r="H64" s="144"/>
      <c r="I64" s="101">
        <v>673.02200000000005</v>
      </c>
      <c r="J64" s="101">
        <v>673.02200000000005</v>
      </c>
      <c r="K64" s="101">
        <v>673.02200000000005</v>
      </c>
      <c r="L64" s="101">
        <v>673.02200000000005</v>
      </c>
      <c r="M64" s="124">
        <f>J64</f>
        <v>673.02200000000005</v>
      </c>
      <c r="N64" s="124">
        <f t="shared" si="11"/>
        <v>673.02200000000005</v>
      </c>
      <c r="O64" s="150"/>
      <c r="Q64" s="223"/>
      <c r="R64" s="223"/>
      <c r="S64" s="223"/>
      <c r="T64" s="223"/>
      <c r="U64" s="223">
        <v>700</v>
      </c>
      <c r="V64" s="223"/>
      <c r="W64" s="223"/>
      <c r="X64" s="223"/>
      <c r="Y64" s="223"/>
      <c r="Z64" s="223"/>
    </row>
    <row r="65" spans="1:26" s="214" customFormat="1" ht="66" hidden="1">
      <c r="A65" s="114" t="s">
        <v>71</v>
      </c>
      <c r="B65" s="58" t="s">
        <v>199</v>
      </c>
      <c r="C65" s="104" t="s">
        <v>186</v>
      </c>
      <c r="D65" s="46" t="s">
        <v>200</v>
      </c>
      <c r="E65" s="91">
        <f t="shared" si="8"/>
        <v>8854</v>
      </c>
      <c r="F65" s="101"/>
      <c r="G65" s="101">
        <v>8854</v>
      </c>
      <c r="H65" s="101"/>
      <c r="I65" s="101">
        <v>8000</v>
      </c>
      <c r="J65" s="101">
        <v>8000</v>
      </c>
      <c r="K65" s="101">
        <v>8195.3379999999997</v>
      </c>
      <c r="L65" s="101">
        <v>8000</v>
      </c>
      <c r="M65" s="124">
        <v>7500</v>
      </c>
      <c r="N65" s="124">
        <f t="shared" si="11"/>
        <v>8000</v>
      </c>
      <c r="O65" s="101"/>
      <c r="Q65" s="215"/>
      <c r="R65" s="215"/>
      <c r="S65" s="215"/>
      <c r="T65" s="215"/>
      <c r="U65" s="215"/>
      <c r="V65" s="215">
        <v>7500</v>
      </c>
      <c r="W65" s="215"/>
      <c r="X65" s="215"/>
      <c r="Y65" s="215"/>
      <c r="Z65" s="215">
        <v>500</v>
      </c>
    </row>
    <row r="66" spans="1:26" s="210" customFormat="1" ht="66" hidden="1">
      <c r="A66" s="114" t="s">
        <v>72</v>
      </c>
      <c r="B66" s="108" t="s">
        <v>203</v>
      </c>
      <c r="C66" s="64" t="s">
        <v>186</v>
      </c>
      <c r="D66" s="109" t="s">
        <v>204</v>
      </c>
      <c r="E66" s="91">
        <f t="shared" si="8"/>
        <v>10108.558000000001</v>
      </c>
      <c r="F66" s="144">
        <v>2500</v>
      </c>
      <c r="G66" s="144">
        <f>10108.558-F66</f>
        <v>7608.5580000000009</v>
      </c>
      <c r="H66" s="101"/>
      <c r="I66" s="101">
        <f>2500+1800+2850</f>
        <v>7150</v>
      </c>
      <c r="J66" s="101">
        <f>2500+1800+2850</f>
        <v>7150</v>
      </c>
      <c r="K66" s="132">
        <f>G66*75%</f>
        <v>5706.4185000000007</v>
      </c>
      <c r="L66" s="101">
        <f>2500+1800+2850</f>
        <v>7150</v>
      </c>
      <c r="M66" s="124">
        <v>7094.067</v>
      </c>
      <c r="N66" s="124">
        <f t="shared" si="11"/>
        <v>7150</v>
      </c>
      <c r="O66" s="101"/>
      <c r="Q66" s="211"/>
      <c r="R66" s="211"/>
      <c r="S66" s="211"/>
      <c r="T66" s="211"/>
      <c r="U66" s="211"/>
      <c r="V66" s="211">
        <v>1800</v>
      </c>
      <c r="W66" s="211"/>
      <c r="X66" s="211"/>
      <c r="Y66" s="211"/>
      <c r="Z66" s="211"/>
    </row>
    <row r="67" spans="1:26" s="210" customFormat="1" ht="82.5">
      <c r="A67" s="114" t="s">
        <v>73</v>
      </c>
      <c r="B67" s="151" t="s">
        <v>208</v>
      </c>
      <c r="C67" s="64" t="s">
        <v>186</v>
      </c>
      <c r="D67" s="109" t="s">
        <v>209</v>
      </c>
      <c r="E67" s="91">
        <f t="shared" si="8"/>
        <v>3845.587</v>
      </c>
      <c r="F67" s="144">
        <v>2000</v>
      </c>
      <c r="G67" s="144">
        <f>3845.587-F67</f>
        <v>1845.587</v>
      </c>
      <c r="H67" s="144"/>
      <c r="I67" s="144">
        <v>3633.6190000000001</v>
      </c>
      <c r="J67" s="144">
        <f>3633.619-2000</f>
        <v>1633.6190000000001</v>
      </c>
      <c r="K67" s="144">
        <v>3633.6190000000001</v>
      </c>
      <c r="L67" s="144">
        <v>3633.6190000000001</v>
      </c>
      <c r="M67" s="124">
        <f>J67</f>
        <v>1633.6190000000001</v>
      </c>
      <c r="N67" s="124">
        <f t="shared" si="11"/>
        <v>1633.6190000000001</v>
      </c>
      <c r="O67" s="144"/>
      <c r="P67" s="210">
        <v>1</v>
      </c>
      <c r="Q67" s="211"/>
      <c r="R67" s="211"/>
      <c r="S67" s="211"/>
      <c r="T67" s="211"/>
      <c r="U67" s="211"/>
      <c r="V67" s="211">
        <v>1500</v>
      </c>
      <c r="W67" s="211">
        <v>133</v>
      </c>
      <c r="X67" s="211"/>
      <c r="Y67" s="211"/>
      <c r="Z67" s="211">
        <v>1400</v>
      </c>
    </row>
    <row r="68" spans="1:26" s="220" customFormat="1" ht="66" hidden="1">
      <c r="A68" s="114" t="s">
        <v>75</v>
      </c>
      <c r="B68" s="125" t="s">
        <v>210</v>
      </c>
      <c r="C68" s="126" t="s">
        <v>186</v>
      </c>
      <c r="D68" s="152" t="s">
        <v>211</v>
      </c>
      <c r="E68" s="91">
        <f t="shared" si="8"/>
        <v>5118</v>
      </c>
      <c r="F68" s="127"/>
      <c r="G68" s="127">
        <v>5118</v>
      </c>
      <c r="H68" s="127"/>
      <c r="I68" s="127">
        <v>4500</v>
      </c>
      <c r="J68" s="127">
        <v>4500</v>
      </c>
      <c r="K68" s="127">
        <v>4825.1719999999996</v>
      </c>
      <c r="L68" s="127">
        <v>4500</v>
      </c>
      <c r="M68" s="124">
        <f>I68</f>
        <v>4500</v>
      </c>
      <c r="N68" s="124">
        <f t="shared" si="11"/>
        <v>4500</v>
      </c>
      <c r="O68" s="127"/>
      <c r="Q68" s="221"/>
      <c r="R68" s="221"/>
      <c r="S68" s="221"/>
      <c r="T68" s="221"/>
      <c r="U68" s="221"/>
      <c r="V68" s="221">
        <v>4500</v>
      </c>
      <c r="W68" s="221"/>
      <c r="X68" s="221"/>
      <c r="Y68" s="221"/>
      <c r="Z68" s="221"/>
    </row>
    <row r="69" spans="1:26" s="224" customFormat="1" ht="66" hidden="1">
      <c r="A69" s="114" t="s">
        <v>76</v>
      </c>
      <c r="B69" s="153" t="s">
        <v>205</v>
      </c>
      <c r="C69" s="154" t="s">
        <v>206</v>
      </c>
      <c r="D69" s="109" t="s">
        <v>207</v>
      </c>
      <c r="E69" s="91">
        <f>F69+G69+H69</f>
        <v>5407.8059999999996</v>
      </c>
      <c r="F69" s="113">
        <f>5407.806-G69</f>
        <v>3499.9999999999995</v>
      </c>
      <c r="G69" s="113">
        <f>1500+407.806</f>
        <v>1907.806</v>
      </c>
      <c r="H69" s="113"/>
      <c r="I69" s="113">
        <v>4995.1350000000002</v>
      </c>
      <c r="J69" s="113">
        <f>4995.135-3500</f>
        <v>1495.1350000000002</v>
      </c>
      <c r="K69" s="113">
        <v>4995.1350000000002</v>
      </c>
      <c r="L69" s="113">
        <v>4995.1350000000002</v>
      </c>
      <c r="M69" s="101">
        <v>940</v>
      </c>
      <c r="N69" s="113">
        <f>4995.135-3500</f>
        <v>1495.1350000000002</v>
      </c>
      <c r="O69" s="113"/>
      <c r="Q69" s="225"/>
      <c r="R69" s="225"/>
      <c r="S69" s="225"/>
      <c r="T69" s="225"/>
      <c r="U69" s="225"/>
      <c r="V69" s="225">
        <v>894.57799999999997</v>
      </c>
      <c r="W69" s="225"/>
      <c r="X69" s="225"/>
      <c r="Y69" s="225"/>
      <c r="Z69" s="225">
        <v>407.80599999999998</v>
      </c>
    </row>
    <row r="70" spans="1:26" s="30" customFormat="1" ht="82.5" hidden="1">
      <c r="A70" s="114" t="s">
        <v>77</v>
      </c>
      <c r="B70" s="155" t="s">
        <v>212</v>
      </c>
      <c r="C70" s="156" t="s">
        <v>206</v>
      </c>
      <c r="D70" s="109" t="s">
        <v>213</v>
      </c>
      <c r="E70" s="91">
        <f t="shared" si="8"/>
        <v>2041.2760000000001</v>
      </c>
      <c r="F70" s="144"/>
      <c r="G70" s="124">
        <v>2041.2760000000001</v>
      </c>
      <c r="H70" s="124"/>
      <c r="I70" s="124">
        <v>1815.1780000000001</v>
      </c>
      <c r="J70" s="124">
        <v>1815.1780000000001</v>
      </c>
      <c r="K70" s="124">
        <v>1815.1780000000001</v>
      </c>
      <c r="L70" s="124">
        <v>1815.1780000000001</v>
      </c>
      <c r="M70" s="124">
        <v>1800</v>
      </c>
      <c r="N70" s="124">
        <f t="shared" ref="N70:N75" si="13">J70</f>
        <v>1815.1780000000001</v>
      </c>
      <c r="O70" s="124"/>
      <c r="Q70" s="48"/>
      <c r="R70" s="48"/>
      <c r="S70" s="48"/>
      <c r="T70" s="48"/>
      <c r="U70" s="48"/>
      <c r="V70" s="48"/>
      <c r="W70" s="48"/>
      <c r="X70" s="48"/>
      <c r="Y70" s="48"/>
      <c r="Z70" s="48">
        <v>15.176</v>
      </c>
    </row>
    <row r="71" spans="1:26" s="222" customFormat="1" ht="66" hidden="1">
      <c r="A71" s="114" t="s">
        <v>78</v>
      </c>
      <c r="B71" s="151" t="s">
        <v>214</v>
      </c>
      <c r="C71" s="158" t="s">
        <v>206</v>
      </c>
      <c r="D71" s="109" t="s">
        <v>215</v>
      </c>
      <c r="E71" s="91">
        <f t="shared" si="8"/>
        <v>3749</v>
      </c>
      <c r="F71" s="144">
        <v>2000</v>
      </c>
      <c r="G71" s="144">
        <f>3749-F71</f>
        <v>1749</v>
      </c>
      <c r="H71" s="101"/>
      <c r="I71" s="101">
        <f>3500+11.621</f>
        <v>3511.6210000000001</v>
      </c>
      <c r="J71" s="101">
        <f>3500+11.621-2000</f>
        <v>1511.6210000000001</v>
      </c>
      <c r="K71" s="101">
        <v>3512.6039999999998</v>
      </c>
      <c r="L71" s="101">
        <f>3500+11.621</f>
        <v>3511.6210000000001</v>
      </c>
      <c r="M71" s="101">
        <v>1500</v>
      </c>
      <c r="N71" s="124">
        <f t="shared" si="13"/>
        <v>1511.6210000000001</v>
      </c>
      <c r="O71" s="101"/>
      <c r="Q71" s="223"/>
      <c r="R71" s="223"/>
      <c r="S71" s="223"/>
      <c r="T71" s="223"/>
      <c r="U71" s="223"/>
      <c r="V71" s="223">
        <v>1415.5909999999999</v>
      </c>
      <c r="W71" s="223"/>
      <c r="X71" s="223"/>
      <c r="Y71" s="223"/>
      <c r="Z71" s="223">
        <v>11.621</v>
      </c>
    </row>
    <row r="72" spans="1:26" s="214" customFormat="1" ht="66">
      <c r="A72" s="114" t="s">
        <v>79</v>
      </c>
      <c r="B72" s="78" t="s">
        <v>216</v>
      </c>
      <c r="C72" s="104" t="s">
        <v>206</v>
      </c>
      <c r="D72" s="46" t="s">
        <v>217</v>
      </c>
      <c r="E72" s="91">
        <f t="shared" si="8"/>
        <v>6075.0240000000003</v>
      </c>
      <c r="F72" s="101"/>
      <c r="G72" s="101">
        <f>6075.024</f>
        <v>6075.0240000000003</v>
      </c>
      <c r="H72" s="101"/>
      <c r="I72" s="101">
        <f>4300+1300</f>
        <v>5600</v>
      </c>
      <c r="J72" s="101">
        <f>4300+1300</f>
        <v>5600</v>
      </c>
      <c r="K72" s="101">
        <v>5606.8289999999997</v>
      </c>
      <c r="L72" s="101">
        <f>4300+1300</f>
        <v>5600</v>
      </c>
      <c r="M72" s="101">
        <f>4300+1180.01</f>
        <v>5480.01</v>
      </c>
      <c r="N72" s="124">
        <f t="shared" si="13"/>
        <v>5600</v>
      </c>
      <c r="O72" s="101"/>
      <c r="P72" s="214">
        <v>1</v>
      </c>
      <c r="Q72" s="215"/>
      <c r="R72" s="215"/>
      <c r="S72" s="215"/>
      <c r="T72" s="215"/>
      <c r="U72" s="215"/>
      <c r="V72" s="215">
        <v>1599.222</v>
      </c>
      <c r="W72" s="215"/>
      <c r="X72" s="215"/>
      <c r="Y72" s="215">
        <v>1300</v>
      </c>
      <c r="Z72" s="215"/>
    </row>
    <row r="73" spans="1:26" s="222" customFormat="1" ht="66">
      <c r="A73" s="114" t="s">
        <v>80</v>
      </c>
      <c r="B73" s="78" t="s">
        <v>218</v>
      </c>
      <c r="C73" s="104" t="s">
        <v>206</v>
      </c>
      <c r="D73" s="46" t="s">
        <v>220</v>
      </c>
      <c r="E73" s="91">
        <f t="shared" si="8"/>
        <v>7365.9660000000003</v>
      </c>
      <c r="F73" s="101">
        <v>2500</v>
      </c>
      <c r="G73" s="101">
        <f>5565.966-F46</f>
        <v>4865.9660000000003</v>
      </c>
      <c r="H73" s="101"/>
      <c r="I73" s="101">
        <f>2500+2500</f>
        <v>5000</v>
      </c>
      <c r="J73" s="101">
        <v>2500</v>
      </c>
      <c r="K73" s="101">
        <v>5106</v>
      </c>
      <c r="L73" s="101">
        <f>2500+2500</f>
        <v>5000</v>
      </c>
      <c r="M73" s="101">
        <v>1980</v>
      </c>
      <c r="N73" s="124">
        <f t="shared" si="13"/>
        <v>2500</v>
      </c>
      <c r="O73" s="101"/>
      <c r="P73" s="222">
        <v>1</v>
      </c>
      <c r="Q73" s="223"/>
      <c r="R73" s="223"/>
      <c r="S73" s="223"/>
      <c r="T73" s="223"/>
      <c r="U73" s="223"/>
      <c r="V73" s="223">
        <v>2500</v>
      </c>
      <c r="W73" s="223"/>
      <c r="X73" s="223"/>
      <c r="Y73" s="223"/>
      <c r="Z73" s="223">
        <v>2700</v>
      </c>
    </row>
    <row r="74" spans="1:26" s="214" customFormat="1" ht="66" hidden="1">
      <c r="A74" s="114" t="s">
        <v>81</v>
      </c>
      <c r="B74" s="78" t="s">
        <v>221</v>
      </c>
      <c r="C74" s="104" t="s">
        <v>206</v>
      </c>
      <c r="D74" s="46" t="s">
        <v>222</v>
      </c>
      <c r="E74" s="91">
        <f t="shared" si="8"/>
        <v>3708.585</v>
      </c>
      <c r="F74" s="101"/>
      <c r="G74" s="101">
        <v>3708.585</v>
      </c>
      <c r="H74" s="101"/>
      <c r="I74" s="101">
        <f>2280+1200</f>
        <v>3480</v>
      </c>
      <c r="J74" s="101">
        <f>2280+1200</f>
        <v>3480</v>
      </c>
      <c r="K74" s="101">
        <f>E74*97%</f>
        <v>3597.3274499999998</v>
      </c>
      <c r="L74" s="101">
        <f>2280+1200</f>
        <v>3480</v>
      </c>
      <c r="M74" s="101">
        <v>2280</v>
      </c>
      <c r="N74" s="124">
        <f t="shared" si="13"/>
        <v>3480</v>
      </c>
      <c r="O74" s="101"/>
      <c r="Q74" s="215"/>
      <c r="R74" s="215"/>
      <c r="S74" s="215"/>
      <c r="T74" s="215"/>
      <c r="U74" s="215"/>
      <c r="V74" s="215">
        <v>2280</v>
      </c>
      <c r="W74" s="215"/>
      <c r="X74" s="215"/>
      <c r="Y74" s="215"/>
      <c r="Z74" s="215">
        <v>1200</v>
      </c>
    </row>
    <row r="75" spans="1:26" s="214" customFormat="1" ht="82.5" hidden="1">
      <c r="A75" s="114" t="s">
        <v>82</v>
      </c>
      <c r="B75" s="78" t="s">
        <v>223</v>
      </c>
      <c r="C75" s="104" t="s">
        <v>206</v>
      </c>
      <c r="D75" s="46" t="s">
        <v>224</v>
      </c>
      <c r="E75" s="91">
        <f t="shared" si="8"/>
        <v>10741.948899999999</v>
      </c>
      <c r="F75" s="101">
        <v>2500</v>
      </c>
      <c r="G75" s="101">
        <f>10741.9489-F75</f>
        <v>8241.9488999999994</v>
      </c>
      <c r="H75" s="101"/>
      <c r="I75" s="144">
        <v>10010.279</v>
      </c>
      <c r="J75" s="144">
        <f>10010.279-2500</f>
        <v>7510.2790000000005</v>
      </c>
      <c r="K75" s="144">
        <v>10010.279</v>
      </c>
      <c r="L75" s="144">
        <v>10010.279</v>
      </c>
      <c r="M75" s="101">
        <f>9578-2500</f>
        <v>7078</v>
      </c>
      <c r="N75" s="124">
        <f t="shared" si="13"/>
        <v>7510.2790000000005</v>
      </c>
      <c r="O75" s="101"/>
      <c r="Q75" s="215"/>
      <c r="R75" s="215"/>
      <c r="S75" s="215"/>
      <c r="T75" s="215"/>
      <c r="U75" s="215"/>
      <c r="V75" s="215">
        <f>474+4000</f>
        <v>4474</v>
      </c>
      <c r="W75" s="215"/>
      <c r="X75" s="215"/>
      <c r="Y75" s="215">
        <v>4878</v>
      </c>
      <c r="Z75" s="215">
        <v>436.779</v>
      </c>
    </row>
    <row r="76" spans="1:26" s="220" customFormat="1" ht="66" hidden="1">
      <c r="A76" s="114" t="s">
        <v>83</v>
      </c>
      <c r="B76" s="159" t="s">
        <v>225</v>
      </c>
      <c r="C76" s="104" t="s">
        <v>206</v>
      </c>
      <c r="D76" s="152" t="s">
        <v>226</v>
      </c>
      <c r="E76" s="91">
        <f t="shared" si="8"/>
        <v>4296.2910000000002</v>
      </c>
      <c r="F76" s="127"/>
      <c r="G76" s="127">
        <v>4296.2910000000002</v>
      </c>
      <c r="H76" s="127"/>
      <c r="I76" s="127">
        <v>4273.5119999999997</v>
      </c>
      <c r="J76" s="127">
        <v>4273.5119999999997</v>
      </c>
      <c r="K76" s="127">
        <v>4273.5119999999997</v>
      </c>
      <c r="L76" s="127">
        <f>K76</f>
        <v>4273.5119999999997</v>
      </c>
      <c r="M76" s="127">
        <f>528.867+2300</f>
        <v>2828.8670000000002</v>
      </c>
      <c r="N76" s="127">
        <f>K76</f>
        <v>4273.5119999999997</v>
      </c>
      <c r="O76" s="127"/>
      <c r="Q76" s="221"/>
      <c r="R76" s="221"/>
      <c r="S76" s="221"/>
      <c r="T76" s="221"/>
      <c r="U76" s="221"/>
      <c r="V76" s="221">
        <v>2300</v>
      </c>
      <c r="W76" s="221"/>
      <c r="X76" s="221"/>
      <c r="Y76" s="221"/>
      <c r="Z76" s="221"/>
    </row>
    <row r="77" spans="1:26" s="222" customFormat="1" ht="66" hidden="1">
      <c r="A77" s="114" t="s">
        <v>84</v>
      </c>
      <c r="B77" s="108" t="s">
        <v>227</v>
      </c>
      <c r="C77" s="158" t="s">
        <v>206</v>
      </c>
      <c r="D77" s="109" t="s">
        <v>228</v>
      </c>
      <c r="E77" s="91">
        <f t="shared" si="8"/>
        <v>1840.623</v>
      </c>
      <c r="F77" s="144"/>
      <c r="G77" s="144">
        <v>1840.623</v>
      </c>
      <c r="H77" s="101"/>
      <c r="I77" s="101">
        <v>1658.1479999999999</v>
      </c>
      <c r="J77" s="101">
        <v>1658.1479999999999</v>
      </c>
      <c r="K77" s="101">
        <v>1658.1479999999999</v>
      </c>
      <c r="L77" s="101">
        <v>1658.1479999999999</v>
      </c>
      <c r="M77" s="101">
        <v>1500</v>
      </c>
      <c r="N77" s="101">
        <v>1658.1479999999999</v>
      </c>
      <c r="O77" s="101"/>
      <c r="Q77" s="223"/>
      <c r="R77" s="223"/>
      <c r="S77" s="223"/>
      <c r="T77" s="223"/>
      <c r="U77" s="223"/>
      <c r="V77" s="223"/>
      <c r="W77" s="223">
        <v>1500</v>
      </c>
      <c r="X77" s="223"/>
      <c r="Y77" s="223"/>
      <c r="Z77" s="223">
        <v>250</v>
      </c>
    </row>
    <row r="78" spans="1:26" s="31" customFormat="1" ht="66" hidden="1">
      <c r="A78" s="114" t="s">
        <v>85</v>
      </c>
      <c r="B78" s="155" t="s">
        <v>231</v>
      </c>
      <c r="C78" s="158" t="s">
        <v>206</v>
      </c>
      <c r="D78" s="160" t="s">
        <v>232</v>
      </c>
      <c r="E78" s="91">
        <f>F78+G78+H78</f>
        <v>1191.951</v>
      </c>
      <c r="F78" s="196"/>
      <c r="G78" s="113">
        <v>1191.951</v>
      </c>
      <c r="H78" s="113"/>
      <c r="I78" s="113">
        <v>1127.796</v>
      </c>
      <c r="J78" s="113">
        <v>1127.796</v>
      </c>
      <c r="K78" s="113">
        <v>1127.796</v>
      </c>
      <c r="L78" s="113">
        <v>1127.796</v>
      </c>
      <c r="M78" s="113">
        <f>J78</f>
        <v>1127.796</v>
      </c>
      <c r="N78" s="113">
        <f>J78</f>
        <v>1127.796</v>
      </c>
      <c r="O78" s="121"/>
      <c r="Q78" s="125"/>
      <c r="R78" s="125"/>
      <c r="S78" s="125"/>
      <c r="T78" s="125"/>
      <c r="U78" s="125"/>
      <c r="V78" s="125"/>
      <c r="W78" s="125">
        <v>700</v>
      </c>
      <c r="X78" s="125"/>
      <c r="Y78" s="125"/>
      <c r="Z78" s="125"/>
    </row>
    <row r="79" spans="1:26" s="214" customFormat="1" ht="66" hidden="1">
      <c r="A79" s="114" t="s">
        <v>86</v>
      </c>
      <c r="B79" s="78" t="s">
        <v>229</v>
      </c>
      <c r="C79" s="104" t="s">
        <v>219</v>
      </c>
      <c r="D79" s="46" t="s">
        <v>230</v>
      </c>
      <c r="E79" s="91">
        <f t="shared" si="8"/>
        <v>40840</v>
      </c>
      <c r="F79" s="101">
        <f>40840-G79</f>
        <v>37340</v>
      </c>
      <c r="G79" s="101">
        <v>3500</v>
      </c>
      <c r="H79" s="101"/>
      <c r="I79" s="101">
        <v>20500</v>
      </c>
      <c r="J79" s="101">
        <v>3500</v>
      </c>
      <c r="K79" s="101">
        <f>E79*80%</f>
        <v>32672</v>
      </c>
      <c r="L79" s="101">
        <v>20500</v>
      </c>
      <c r="M79" s="101">
        <v>2500</v>
      </c>
      <c r="N79" s="101">
        <f>J79</f>
        <v>3500</v>
      </c>
      <c r="O79" s="101"/>
      <c r="Q79" s="215"/>
      <c r="R79" s="215"/>
      <c r="S79" s="215"/>
      <c r="T79" s="215"/>
      <c r="U79" s="215"/>
      <c r="V79" s="215">
        <v>1500</v>
      </c>
      <c r="W79" s="215"/>
      <c r="X79" s="215"/>
      <c r="Y79" s="215"/>
      <c r="Z79" s="215"/>
    </row>
    <row r="80" spans="1:26" s="226" customFormat="1" ht="82.5" hidden="1">
      <c r="A80" s="114" t="s">
        <v>87</v>
      </c>
      <c r="B80" s="161" t="s">
        <v>233</v>
      </c>
      <c r="C80" s="126" t="s">
        <v>219</v>
      </c>
      <c r="D80" s="109" t="s">
        <v>234</v>
      </c>
      <c r="E80" s="91">
        <f t="shared" si="8"/>
        <v>9305</v>
      </c>
      <c r="F80" s="144"/>
      <c r="G80" s="144">
        <v>9305</v>
      </c>
      <c r="H80" s="144"/>
      <c r="I80" s="144">
        <v>8000</v>
      </c>
      <c r="J80" s="144">
        <v>8000</v>
      </c>
      <c r="K80" s="144">
        <v>8862.81</v>
      </c>
      <c r="L80" s="144">
        <v>8000</v>
      </c>
      <c r="M80" s="113">
        <f>J80</f>
        <v>8000</v>
      </c>
      <c r="N80" s="113">
        <f>J80</f>
        <v>8000</v>
      </c>
      <c r="O80" s="157"/>
      <c r="Q80" s="227"/>
      <c r="R80" s="227"/>
      <c r="S80" s="227"/>
      <c r="T80" s="227"/>
      <c r="U80" s="227"/>
      <c r="V80" s="227"/>
      <c r="W80" s="227">
        <v>1800</v>
      </c>
      <c r="X80" s="227"/>
      <c r="Y80" s="227"/>
      <c r="Z80" s="227">
        <v>5000</v>
      </c>
    </row>
    <row r="81" spans="1:26" s="228" customFormat="1" ht="82.5" hidden="1">
      <c r="A81" s="114" t="s">
        <v>88</v>
      </c>
      <c r="B81" s="162" t="s">
        <v>235</v>
      </c>
      <c r="C81" s="126" t="s">
        <v>219</v>
      </c>
      <c r="D81" s="109" t="s">
        <v>236</v>
      </c>
      <c r="E81" s="91">
        <f t="shared" si="8"/>
        <v>4649.4269999999997</v>
      </c>
      <c r="F81" s="144"/>
      <c r="G81" s="144">
        <v>4649.4269999999997</v>
      </c>
      <c r="H81" s="144"/>
      <c r="I81" s="144">
        <v>3000</v>
      </c>
      <c r="J81" s="144">
        <v>3000</v>
      </c>
      <c r="K81" s="144">
        <v>4083</v>
      </c>
      <c r="L81" s="144">
        <v>3000</v>
      </c>
      <c r="M81" s="113">
        <f>J81</f>
        <v>3000</v>
      </c>
      <c r="N81" s="113">
        <f>J81</f>
        <v>3000</v>
      </c>
      <c r="O81" s="157"/>
      <c r="Q81" s="229"/>
      <c r="R81" s="229"/>
      <c r="S81" s="229"/>
      <c r="T81" s="229"/>
      <c r="U81" s="229"/>
      <c r="V81" s="229"/>
      <c r="W81" s="229">
        <v>2000</v>
      </c>
      <c r="X81" s="229"/>
      <c r="Y81" s="229"/>
      <c r="Z81" s="229">
        <v>1000</v>
      </c>
    </row>
    <row r="82" spans="1:26" s="230" customFormat="1" ht="82.5">
      <c r="A82" s="114" t="s">
        <v>89</v>
      </c>
      <c r="B82" s="162" t="s">
        <v>237</v>
      </c>
      <c r="C82" s="126" t="s">
        <v>219</v>
      </c>
      <c r="D82" s="109" t="s">
        <v>238</v>
      </c>
      <c r="E82" s="91">
        <f t="shared" si="8"/>
        <v>10372.934999999999</v>
      </c>
      <c r="F82" s="144"/>
      <c r="G82" s="144">
        <v>10372.934999999999</v>
      </c>
      <c r="H82" s="113"/>
      <c r="I82" s="113">
        <f>3000+5500</f>
        <v>8500</v>
      </c>
      <c r="J82" s="113">
        <f>3000+5500</f>
        <v>8500</v>
      </c>
      <c r="K82" s="144">
        <v>9734.3619999999992</v>
      </c>
      <c r="L82" s="113">
        <f>3000+5500</f>
        <v>8500</v>
      </c>
      <c r="M82" s="113">
        <f>3000+2500</f>
        <v>5500</v>
      </c>
      <c r="N82" s="113">
        <f>3000+5500</f>
        <v>8500</v>
      </c>
      <c r="O82" s="113"/>
      <c r="P82" s="230">
        <v>1</v>
      </c>
      <c r="Q82" s="231"/>
      <c r="R82" s="231"/>
      <c r="S82" s="231"/>
      <c r="T82" s="231"/>
      <c r="U82" s="231"/>
      <c r="V82" s="231"/>
      <c r="W82" s="231">
        <v>3000</v>
      </c>
      <c r="X82" s="231"/>
      <c r="Y82" s="231"/>
      <c r="Z82" s="231">
        <v>5500</v>
      </c>
    </row>
    <row r="83" spans="1:26" s="230" customFormat="1" ht="82.5">
      <c r="A83" s="114" t="s">
        <v>90</v>
      </c>
      <c r="B83" s="162" t="s">
        <v>239</v>
      </c>
      <c r="C83" s="126" t="s">
        <v>219</v>
      </c>
      <c r="D83" s="109" t="s">
        <v>240</v>
      </c>
      <c r="E83" s="91">
        <f t="shared" si="8"/>
        <v>3894.2849999999999</v>
      </c>
      <c r="F83" s="144"/>
      <c r="G83" s="144">
        <v>3894.2849999999999</v>
      </c>
      <c r="H83" s="113"/>
      <c r="I83" s="144">
        <v>3660</v>
      </c>
      <c r="J83" s="144">
        <v>3660</v>
      </c>
      <c r="K83" s="144">
        <v>3660</v>
      </c>
      <c r="L83" s="144">
        <v>3660</v>
      </c>
      <c r="M83" s="113">
        <f>2000</f>
        <v>2000</v>
      </c>
      <c r="N83" s="144">
        <v>3660</v>
      </c>
      <c r="O83" s="113"/>
      <c r="P83" s="230">
        <v>1</v>
      </c>
      <c r="Q83" s="231"/>
      <c r="R83" s="231"/>
      <c r="S83" s="231"/>
      <c r="T83" s="231"/>
      <c r="U83" s="231"/>
      <c r="V83" s="231"/>
      <c r="W83" s="231">
        <v>2000</v>
      </c>
      <c r="X83" s="231"/>
      <c r="Y83" s="231"/>
      <c r="Z83" s="231">
        <v>1699</v>
      </c>
    </row>
    <row r="84" spans="1:26" s="228" customFormat="1" ht="82.5" hidden="1">
      <c r="A84" s="114" t="s">
        <v>92</v>
      </c>
      <c r="B84" s="162" t="s">
        <v>241</v>
      </c>
      <c r="C84" s="126" t="s">
        <v>219</v>
      </c>
      <c r="D84" s="109" t="s">
        <v>242</v>
      </c>
      <c r="E84" s="91">
        <f t="shared" si="8"/>
        <v>10394.691000000001</v>
      </c>
      <c r="F84" s="144"/>
      <c r="G84" s="144">
        <v>10394.691000000001</v>
      </c>
      <c r="H84" s="144"/>
      <c r="I84" s="144">
        <f>3000+2500</f>
        <v>5500</v>
      </c>
      <c r="J84" s="144">
        <f>3000+2500</f>
        <v>5500</v>
      </c>
      <c r="K84" s="144">
        <v>10257.885</v>
      </c>
      <c r="L84" s="144">
        <v>5500</v>
      </c>
      <c r="M84" s="144">
        <f>3000+2500</f>
        <v>5500</v>
      </c>
      <c r="N84" s="144">
        <f>3000+2500</f>
        <v>5500</v>
      </c>
      <c r="O84" s="157"/>
      <c r="Q84" s="229"/>
      <c r="R84" s="229"/>
      <c r="S84" s="229"/>
      <c r="T84" s="229"/>
      <c r="U84" s="229"/>
      <c r="V84" s="229"/>
      <c r="W84" s="229">
        <v>400</v>
      </c>
      <c r="X84" s="229"/>
      <c r="Y84" s="229"/>
      <c r="Z84" s="229">
        <v>6000</v>
      </c>
    </row>
    <row r="85" spans="1:26" s="230" customFormat="1" ht="82.5">
      <c r="A85" s="114" t="s">
        <v>93</v>
      </c>
      <c r="B85" s="162" t="s">
        <v>243</v>
      </c>
      <c r="C85" s="126" t="s">
        <v>219</v>
      </c>
      <c r="D85" s="109" t="s">
        <v>244</v>
      </c>
      <c r="E85" s="91">
        <f t="shared" si="8"/>
        <v>11287.361999999999</v>
      </c>
      <c r="F85" s="144"/>
      <c r="G85" s="144">
        <v>11287.361999999999</v>
      </c>
      <c r="H85" s="113"/>
      <c r="I85" s="113">
        <f>3500+5500</f>
        <v>9000</v>
      </c>
      <c r="J85" s="113">
        <f>3500+5500</f>
        <v>9000</v>
      </c>
      <c r="K85" s="113">
        <v>10513.36</v>
      </c>
      <c r="L85" s="113">
        <f>3500+5500</f>
        <v>9000</v>
      </c>
      <c r="M85" s="113">
        <v>3500</v>
      </c>
      <c r="N85" s="113">
        <f>3500+5500</f>
        <v>9000</v>
      </c>
      <c r="O85" s="113"/>
      <c r="P85" s="230">
        <v>1</v>
      </c>
      <c r="Q85" s="231"/>
      <c r="R85" s="231"/>
      <c r="S85" s="231"/>
      <c r="T85" s="231"/>
      <c r="U85" s="231"/>
      <c r="V85" s="231"/>
      <c r="W85" s="231">
        <v>3500</v>
      </c>
      <c r="X85" s="231"/>
      <c r="Y85" s="231"/>
      <c r="Z85" s="231">
        <v>5500</v>
      </c>
    </row>
    <row r="86" spans="1:26" s="230" customFormat="1" ht="49.5" hidden="1">
      <c r="A86" s="114"/>
      <c r="B86" s="162" t="s">
        <v>811</v>
      </c>
      <c r="C86" s="126"/>
      <c r="D86" s="109"/>
      <c r="E86" s="91"/>
      <c r="F86" s="144"/>
      <c r="G86" s="144"/>
      <c r="H86" s="113"/>
      <c r="I86" s="113"/>
      <c r="J86" s="113">
        <v>80.319999999999993</v>
      </c>
      <c r="K86" s="113"/>
      <c r="L86" s="113"/>
      <c r="M86" s="113">
        <v>0</v>
      </c>
      <c r="N86" s="113">
        <v>0</v>
      </c>
      <c r="O86" s="113"/>
      <c r="Q86" s="231"/>
      <c r="R86" s="231"/>
      <c r="S86" s="231"/>
      <c r="T86" s="231"/>
      <c r="U86" s="231"/>
      <c r="V86" s="231"/>
      <c r="W86" s="231"/>
      <c r="X86" s="231"/>
      <c r="Y86" s="231"/>
      <c r="Z86" s="231">
        <v>80.319999999999993</v>
      </c>
    </row>
    <row r="87" spans="1:26" s="214" customFormat="1" ht="82.5" hidden="1">
      <c r="A87" s="114" t="s">
        <v>94</v>
      </c>
      <c r="B87" s="108" t="s">
        <v>245</v>
      </c>
      <c r="C87" s="158" t="s">
        <v>246</v>
      </c>
      <c r="D87" s="152" t="s">
        <v>247</v>
      </c>
      <c r="E87" s="91">
        <f t="shared" si="8"/>
        <v>29319.806</v>
      </c>
      <c r="F87" s="144">
        <v>5000</v>
      </c>
      <c r="G87" s="144">
        <f>29319.806-F87</f>
        <v>24319.806</v>
      </c>
      <c r="H87" s="101"/>
      <c r="I87" s="101">
        <f>5000+6000+11426.75</f>
        <v>22426.75</v>
      </c>
      <c r="J87" s="101">
        <f>6000+11426.75</f>
        <v>17426.75</v>
      </c>
      <c r="K87" s="101">
        <f>E87*85%</f>
        <v>24921.8351</v>
      </c>
      <c r="L87" s="101">
        <f>5000+6000+11426.75</f>
        <v>22426.75</v>
      </c>
      <c r="M87" s="101">
        <f>507.733+10395.391</f>
        <v>10903.124</v>
      </c>
      <c r="N87" s="101">
        <f>J87</f>
        <v>17426.75</v>
      </c>
      <c r="O87" s="101"/>
      <c r="Q87" s="215"/>
      <c r="R87" s="215"/>
      <c r="S87" s="215"/>
      <c r="T87" s="215"/>
      <c r="U87" s="215"/>
      <c r="V87" s="215"/>
      <c r="W87" s="215"/>
      <c r="X87" s="215"/>
      <c r="Y87" s="215"/>
      <c r="Z87" s="215">
        <v>11426.75</v>
      </c>
    </row>
    <row r="88" spans="1:26" s="214" customFormat="1" ht="66" hidden="1">
      <c r="A88" s="114" t="s">
        <v>95</v>
      </c>
      <c r="B88" s="108" t="s">
        <v>254</v>
      </c>
      <c r="C88" s="158" t="s">
        <v>246</v>
      </c>
      <c r="D88" s="152" t="s">
        <v>255</v>
      </c>
      <c r="E88" s="91">
        <f t="shared" si="8"/>
        <v>941.95699999999999</v>
      </c>
      <c r="F88" s="144"/>
      <c r="G88" s="101">
        <v>941.95699999999999</v>
      </c>
      <c r="H88" s="101"/>
      <c r="I88" s="101">
        <v>914.27499999999998</v>
      </c>
      <c r="J88" s="101">
        <v>914.27499999999998</v>
      </c>
      <c r="K88" s="101">
        <v>914.27499999999998</v>
      </c>
      <c r="L88" s="101">
        <v>914.27499999999998</v>
      </c>
      <c r="M88" s="101">
        <v>840.25300000000004</v>
      </c>
      <c r="N88" s="101">
        <v>914.27499999999998</v>
      </c>
      <c r="O88" s="101"/>
      <c r="Q88" s="215"/>
      <c r="R88" s="215"/>
      <c r="S88" s="215"/>
      <c r="T88" s="215"/>
      <c r="U88" s="215"/>
      <c r="V88" s="215"/>
      <c r="W88" s="215"/>
      <c r="X88" s="215"/>
      <c r="Y88" s="215"/>
      <c r="Z88" s="215"/>
    </row>
    <row r="89" spans="1:26" s="32" customFormat="1" ht="66" hidden="1">
      <c r="A89" s="114" t="s">
        <v>96</v>
      </c>
      <c r="B89" s="58" t="s">
        <v>256</v>
      </c>
      <c r="C89" s="158" t="s">
        <v>246</v>
      </c>
      <c r="D89" s="152" t="s">
        <v>257</v>
      </c>
      <c r="E89" s="91">
        <f t="shared" si="8"/>
        <v>674.74400000000003</v>
      </c>
      <c r="F89" s="49"/>
      <c r="G89" s="101">
        <v>674.74400000000003</v>
      </c>
      <c r="H89" s="144"/>
      <c r="I89" s="101">
        <v>620</v>
      </c>
      <c r="J89" s="163">
        <v>620</v>
      </c>
      <c r="K89" s="101">
        <v>620</v>
      </c>
      <c r="L89" s="101">
        <v>620</v>
      </c>
      <c r="M89" s="163">
        <v>565.40099999999995</v>
      </c>
      <c r="N89" s="101">
        <v>620</v>
      </c>
      <c r="O89" s="163"/>
      <c r="Q89" s="208"/>
      <c r="R89" s="208"/>
      <c r="S89" s="208"/>
      <c r="T89" s="208"/>
      <c r="U89" s="208"/>
      <c r="V89" s="208"/>
      <c r="W89" s="208"/>
      <c r="X89" s="208"/>
      <c r="Y89" s="208"/>
      <c r="Z89" s="208">
        <v>1500</v>
      </c>
    </row>
    <row r="90" spans="1:26" s="232" customFormat="1" ht="66" hidden="1">
      <c r="A90" s="114" t="s">
        <v>301</v>
      </c>
      <c r="B90" s="162" t="s">
        <v>258</v>
      </c>
      <c r="C90" s="158" t="s">
        <v>246</v>
      </c>
      <c r="D90" s="152" t="s">
        <v>259</v>
      </c>
      <c r="E90" s="91">
        <f t="shared" si="8"/>
        <v>10643</v>
      </c>
      <c r="F90" s="197"/>
      <c r="G90" s="144">
        <v>10643</v>
      </c>
      <c r="H90" s="144"/>
      <c r="I90" s="113">
        <v>6000</v>
      </c>
      <c r="J90" s="113">
        <v>6000</v>
      </c>
      <c r="K90" s="101">
        <f>E90*80%</f>
        <v>8514.4</v>
      </c>
      <c r="L90" s="101">
        <f t="shared" ref="L90:L101" si="14">N90</f>
        <v>6000</v>
      </c>
      <c r="M90" s="101">
        <v>3944.6</v>
      </c>
      <c r="N90" s="101">
        <v>6000</v>
      </c>
      <c r="O90" s="101"/>
      <c r="Q90" s="233"/>
      <c r="R90" s="233"/>
      <c r="S90" s="233"/>
      <c r="T90" s="233"/>
      <c r="U90" s="233"/>
      <c r="V90" s="233"/>
      <c r="W90" s="233"/>
      <c r="X90" s="233"/>
      <c r="Y90" s="233"/>
      <c r="Z90" s="233">
        <v>6000</v>
      </c>
    </row>
    <row r="91" spans="1:26" s="32" customFormat="1" ht="82.5" hidden="1">
      <c r="A91" s="114" t="s">
        <v>302</v>
      </c>
      <c r="B91" s="58" t="s">
        <v>260</v>
      </c>
      <c r="C91" s="158" t="s">
        <v>246</v>
      </c>
      <c r="D91" s="109" t="s">
        <v>261</v>
      </c>
      <c r="E91" s="91">
        <f t="shared" si="8"/>
        <v>2181.893</v>
      </c>
      <c r="F91" s="144"/>
      <c r="G91" s="113">
        <v>2181.893</v>
      </c>
      <c r="H91" s="144"/>
      <c r="I91" s="113">
        <v>2200</v>
      </c>
      <c r="J91" s="113">
        <v>2200</v>
      </c>
      <c r="K91" s="101">
        <f>E91*95%</f>
        <v>2072.79835</v>
      </c>
      <c r="L91" s="101">
        <f t="shared" si="14"/>
        <v>2181.893</v>
      </c>
      <c r="M91" s="101">
        <v>1042.2809999999999</v>
      </c>
      <c r="N91" s="113">
        <v>2181.893</v>
      </c>
      <c r="O91" s="101"/>
      <c r="Q91" s="208"/>
      <c r="R91" s="208"/>
      <c r="S91" s="208"/>
      <c r="T91" s="208"/>
      <c r="U91" s="208"/>
      <c r="V91" s="208"/>
      <c r="W91" s="208"/>
      <c r="X91" s="208"/>
      <c r="Y91" s="208"/>
      <c r="Z91" s="208">
        <v>2200</v>
      </c>
    </row>
    <row r="92" spans="1:26" s="32" customFormat="1" ht="66" hidden="1">
      <c r="A92" s="114" t="s">
        <v>303</v>
      </c>
      <c r="B92" s="58" t="s">
        <v>262</v>
      </c>
      <c r="C92" s="158" t="s">
        <v>246</v>
      </c>
      <c r="D92" s="109" t="s">
        <v>263</v>
      </c>
      <c r="E92" s="91">
        <f t="shared" si="8"/>
        <v>4139.3530000000001</v>
      </c>
      <c r="F92" s="163"/>
      <c r="G92" s="164">
        <v>4139.3530000000001</v>
      </c>
      <c r="H92" s="144"/>
      <c r="I92" s="113">
        <v>3500</v>
      </c>
      <c r="J92" s="113">
        <v>3500</v>
      </c>
      <c r="K92" s="101">
        <f>E92*90%</f>
        <v>3725.4177</v>
      </c>
      <c r="L92" s="101">
        <f t="shared" si="14"/>
        <v>3500</v>
      </c>
      <c r="M92" s="101">
        <v>1181.395</v>
      </c>
      <c r="N92" s="101">
        <v>3500</v>
      </c>
      <c r="O92" s="101"/>
      <c r="Q92" s="208"/>
      <c r="R92" s="208"/>
      <c r="S92" s="208"/>
      <c r="T92" s="208"/>
      <c r="U92" s="208"/>
      <c r="V92" s="208"/>
      <c r="W92" s="208"/>
      <c r="X92" s="208"/>
      <c r="Y92" s="208"/>
      <c r="Z92" s="208">
        <v>3500</v>
      </c>
    </row>
    <row r="93" spans="1:26" s="32" customFormat="1" ht="82.5">
      <c r="A93" s="114" t="s">
        <v>304</v>
      </c>
      <c r="B93" s="58" t="s">
        <v>264</v>
      </c>
      <c r="C93" s="158" t="s">
        <v>246</v>
      </c>
      <c r="D93" s="109" t="s">
        <v>265</v>
      </c>
      <c r="E93" s="91">
        <f t="shared" si="8"/>
        <v>6608.9780000000001</v>
      </c>
      <c r="F93" s="163"/>
      <c r="G93" s="164">
        <v>6608.9780000000001</v>
      </c>
      <c r="H93" s="144"/>
      <c r="I93" s="113">
        <v>5000</v>
      </c>
      <c r="J93" s="113">
        <v>5000</v>
      </c>
      <c r="K93" s="101">
        <f>E93*95%</f>
        <v>6278.5290999999997</v>
      </c>
      <c r="L93" s="101">
        <f t="shared" si="14"/>
        <v>5000</v>
      </c>
      <c r="M93" s="101">
        <v>3183.2860000000001</v>
      </c>
      <c r="N93" s="101">
        <v>5000</v>
      </c>
      <c r="O93" s="101"/>
      <c r="P93" s="32">
        <v>1</v>
      </c>
      <c r="Q93" s="208"/>
      <c r="R93" s="208"/>
      <c r="S93" s="208"/>
      <c r="T93" s="208"/>
      <c r="U93" s="208"/>
      <c r="V93" s="208"/>
      <c r="W93" s="208"/>
      <c r="X93" s="208"/>
      <c r="Y93" s="208"/>
      <c r="Z93" s="208">
        <v>5000</v>
      </c>
    </row>
    <row r="94" spans="1:26" s="32" customFormat="1" ht="66">
      <c r="A94" s="114" t="s">
        <v>305</v>
      </c>
      <c r="B94" s="58" t="s">
        <v>266</v>
      </c>
      <c r="C94" s="158" t="s">
        <v>246</v>
      </c>
      <c r="D94" s="109" t="s">
        <v>267</v>
      </c>
      <c r="E94" s="91">
        <f t="shared" si="8"/>
        <v>6015.6840000000002</v>
      </c>
      <c r="F94" s="163"/>
      <c r="G94" s="164">
        <v>6015.6840000000002</v>
      </c>
      <c r="H94" s="144"/>
      <c r="I94" s="113">
        <v>5000</v>
      </c>
      <c r="J94" s="113">
        <v>5000</v>
      </c>
      <c r="K94" s="101">
        <f>E94*85%</f>
        <v>5113.3314</v>
      </c>
      <c r="L94" s="101">
        <f t="shared" si="14"/>
        <v>5000</v>
      </c>
      <c r="M94" s="101">
        <v>2681.163</v>
      </c>
      <c r="N94" s="101">
        <v>5000</v>
      </c>
      <c r="O94" s="101"/>
      <c r="P94" s="32">
        <v>1</v>
      </c>
      <c r="Q94" s="208"/>
      <c r="R94" s="208"/>
      <c r="S94" s="208"/>
      <c r="T94" s="208"/>
      <c r="U94" s="208"/>
      <c r="V94" s="208"/>
      <c r="W94" s="208"/>
      <c r="X94" s="208"/>
      <c r="Y94" s="208"/>
      <c r="Z94" s="208">
        <v>5000</v>
      </c>
    </row>
    <row r="95" spans="1:26" s="32" customFormat="1" ht="66" hidden="1">
      <c r="A95" s="114" t="s">
        <v>306</v>
      </c>
      <c r="B95" s="58" t="s">
        <v>268</v>
      </c>
      <c r="C95" s="158" t="s">
        <v>246</v>
      </c>
      <c r="D95" s="109" t="s">
        <v>269</v>
      </c>
      <c r="E95" s="91">
        <f t="shared" si="8"/>
        <v>5550</v>
      </c>
      <c r="F95" s="163"/>
      <c r="G95" s="164">
        <v>5550</v>
      </c>
      <c r="H95" s="144"/>
      <c r="I95" s="113">
        <v>4000</v>
      </c>
      <c r="J95" s="113">
        <v>4000</v>
      </c>
      <c r="K95" s="101">
        <f>E95*95%</f>
        <v>5272.5</v>
      </c>
      <c r="L95" s="101">
        <f t="shared" si="14"/>
        <v>4000</v>
      </c>
      <c r="M95" s="101">
        <v>2295.12</v>
      </c>
      <c r="N95" s="101">
        <v>4000</v>
      </c>
      <c r="O95" s="101"/>
      <c r="Q95" s="208"/>
      <c r="R95" s="208"/>
      <c r="S95" s="208"/>
      <c r="T95" s="208"/>
      <c r="U95" s="208"/>
      <c r="V95" s="208"/>
      <c r="W95" s="208"/>
      <c r="X95" s="208"/>
      <c r="Y95" s="208"/>
      <c r="Z95" s="208">
        <v>4000</v>
      </c>
    </row>
    <row r="96" spans="1:26" s="32" customFormat="1" ht="66" hidden="1">
      <c r="A96" s="114" t="s">
        <v>307</v>
      </c>
      <c r="B96" s="58" t="s">
        <v>270</v>
      </c>
      <c r="C96" s="158" t="s">
        <v>246</v>
      </c>
      <c r="D96" s="109" t="s">
        <v>271</v>
      </c>
      <c r="E96" s="91">
        <f t="shared" si="8"/>
        <v>3804.779</v>
      </c>
      <c r="F96" s="164"/>
      <c r="G96" s="164">
        <v>3804.779</v>
      </c>
      <c r="H96" s="144"/>
      <c r="I96" s="164">
        <f>3804.779*97%</f>
        <v>3690.6356299999998</v>
      </c>
      <c r="J96" s="164">
        <f>3804.779*97%</f>
        <v>3690.6356299999998</v>
      </c>
      <c r="K96" s="164">
        <f>3804.779*97%</f>
        <v>3690.6356299999998</v>
      </c>
      <c r="L96" s="164">
        <f>3804.779*97%</f>
        <v>3690.6356299999998</v>
      </c>
      <c r="M96" s="164">
        <v>1192.99</v>
      </c>
      <c r="N96" s="164">
        <f>J96</f>
        <v>3690.6356299999998</v>
      </c>
      <c r="O96" s="164"/>
      <c r="Q96" s="208"/>
      <c r="R96" s="208"/>
      <c r="S96" s="208"/>
      <c r="T96" s="208"/>
      <c r="U96" s="208"/>
      <c r="V96" s="208"/>
      <c r="W96" s="208"/>
      <c r="X96" s="208"/>
      <c r="Y96" s="208"/>
      <c r="Z96" s="208">
        <v>5000</v>
      </c>
    </row>
    <row r="97" spans="1:26" s="32" customFormat="1" ht="66" hidden="1">
      <c r="A97" s="114" t="s">
        <v>308</v>
      </c>
      <c r="B97" s="58" t="s">
        <v>272</v>
      </c>
      <c r="C97" s="158" t="s">
        <v>246</v>
      </c>
      <c r="D97" s="109" t="s">
        <v>273</v>
      </c>
      <c r="E97" s="91">
        <f t="shared" ref="E97:E112" si="15">F97+G97+H97</f>
        <v>4243.0550000000003</v>
      </c>
      <c r="F97" s="49"/>
      <c r="G97" s="101">
        <v>4243.0550000000003</v>
      </c>
      <c r="H97" s="144"/>
      <c r="I97" s="113">
        <v>4000</v>
      </c>
      <c r="J97" s="113">
        <v>4000</v>
      </c>
      <c r="K97" s="101">
        <f>E97*97%</f>
        <v>4115.7633500000002</v>
      </c>
      <c r="L97" s="164">
        <f t="shared" si="14"/>
        <v>4000</v>
      </c>
      <c r="M97" s="164">
        <v>1622.1849999999999</v>
      </c>
      <c r="N97" s="164">
        <v>4000</v>
      </c>
      <c r="O97" s="164"/>
      <c r="Q97" s="208"/>
      <c r="R97" s="208"/>
      <c r="S97" s="208"/>
      <c r="T97" s="208"/>
      <c r="U97" s="208"/>
      <c r="V97" s="208"/>
      <c r="W97" s="208"/>
      <c r="X97" s="208"/>
      <c r="Y97" s="208"/>
      <c r="Z97" s="208">
        <v>4000</v>
      </c>
    </row>
    <row r="98" spans="1:26" s="32" customFormat="1" ht="66">
      <c r="A98" s="114" t="s">
        <v>309</v>
      </c>
      <c r="B98" s="58" t="s">
        <v>274</v>
      </c>
      <c r="C98" s="158" t="s">
        <v>246</v>
      </c>
      <c r="D98" s="109" t="s">
        <v>275</v>
      </c>
      <c r="E98" s="91">
        <f t="shared" si="15"/>
        <v>3815.4879999999998</v>
      </c>
      <c r="F98" s="49"/>
      <c r="G98" s="101">
        <v>3815.4879999999998</v>
      </c>
      <c r="H98" s="144"/>
      <c r="I98" s="113">
        <v>3500</v>
      </c>
      <c r="J98" s="113">
        <v>3500</v>
      </c>
      <c r="K98" s="101">
        <f>E98*97%</f>
        <v>3701.0233599999997</v>
      </c>
      <c r="L98" s="164">
        <f t="shared" si="14"/>
        <v>3500</v>
      </c>
      <c r="M98" s="164">
        <v>1199.1099999999999</v>
      </c>
      <c r="N98" s="164">
        <v>3500</v>
      </c>
      <c r="O98" s="164"/>
      <c r="P98" s="32">
        <v>1</v>
      </c>
      <c r="Q98" s="208"/>
      <c r="R98" s="208"/>
      <c r="S98" s="208"/>
      <c r="T98" s="208"/>
      <c r="U98" s="208"/>
      <c r="V98" s="208"/>
      <c r="W98" s="208"/>
      <c r="X98" s="208"/>
      <c r="Y98" s="208"/>
      <c r="Z98" s="208">
        <v>3500</v>
      </c>
    </row>
    <row r="99" spans="1:26" s="32" customFormat="1" ht="66" hidden="1">
      <c r="A99" s="114" t="s">
        <v>310</v>
      </c>
      <c r="B99" s="58" t="s">
        <v>297</v>
      </c>
      <c r="C99" s="158" t="s">
        <v>246</v>
      </c>
      <c r="D99" s="109" t="s">
        <v>298</v>
      </c>
      <c r="E99" s="91">
        <f>F99+G99+H99</f>
        <v>13500</v>
      </c>
      <c r="F99" s="49"/>
      <c r="G99" s="113">
        <v>13500</v>
      </c>
      <c r="H99" s="144"/>
      <c r="I99" s="113">
        <v>8500</v>
      </c>
      <c r="J99" s="113">
        <v>8500</v>
      </c>
      <c r="K99" s="113">
        <f>E99*80%</f>
        <v>10800</v>
      </c>
      <c r="L99" s="113">
        <v>8500</v>
      </c>
      <c r="M99" s="113"/>
      <c r="N99" s="113">
        <v>8500</v>
      </c>
      <c r="O99" s="163"/>
      <c r="Q99" s="208"/>
      <c r="R99" s="208"/>
      <c r="S99" s="208"/>
      <c r="T99" s="208"/>
      <c r="U99" s="208"/>
      <c r="V99" s="208"/>
      <c r="W99" s="208"/>
      <c r="X99" s="208"/>
      <c r="Y99" s="208"/>
      <c r="Z99" s="208">
        <v>5000</v>
      </c>
    </row>
    <row r="100" spans="1:26" s="32" customFormat="1" ht="66">
      <c r="A100" s="114" t="s">
        <v>311</v>
      </c>
      <c r="B100" s="58" t="s">
        <v>278</v>
      </c>
      <c r="C100" s="158" t="s">
        <v>246</v>
      </c>
      <c r="D100" s="109" t="s">
        <v>279</v>
      </c>
      <c r="E100" s="91">
        <f t="shared" si="15"/>
        <v>4980.9030000000002</v>
      </c>
      <c r="F100" s="49"/>
      <c r="G100" s="164">
        <v>4980.9030000000002</v>
      </c>
      <c r="H100" s="144"/>
      <c r="I100" s="113">
        <v>2000</v>
      </c>
      <c r="J100" s="113">
        <v>2000</v>
      </c>
      <c r="K100" s="101">
        <f>E100*60%</f>
        <v>2988.5418</v>
      </c>
      <c r="L100" s="164">
        <f t="shared" si="14"/>
        <v>2000</v>
      </c>
      <c r="M100" s="164">
        <v>1974.354</v>
      </c>
      <c r="N100" s="164">
        <v>2000</v>
      </c>
      <c r="O100" s="164"/>
      <c r="P100" s="32">
        <v>1</v>
      </c>
      <c r="Q100" s="208"/>
      <c r="R100" s="208"/>
      <c r="S100" s="208"/>
      <c r="T100" s="208"/>
      <c r="U100" s="208"/>
      <c r="V100" s="208"/>
      <c r="W100" s="208"/>
      <c r="X100" s="208"/>
      <c r="Y100" s="208"/>
      <c r="Z100" s="208">
        <v>3000</v>
      </c>
    </row>
    <row r="101" spans="1:26" s="32" customFormat="1" ht="66" hidden="1">
      <c r="A101" s="114" t="s">
        <v>312</v>
      </c>
      <c r="B101" s="58" t="s">
        <v>280</v>
      </c>
      <c r="C101" s="158" t="s">
        <v>246</v>
      </c>
      <c r="D101" s="109" t="s">
        <v>281</v>
      </c>
      <c r="E101" s="91">
        <f t="shared" si="15"/>
        <v>3540.1309999999999</v>
      </c>
      <c r="F101" s="144"/>
      <c r="G101" s="164">
        <v>3540.1309999999999</v>
      </c>
      <c r="H101" s="144"/>
      <c r="I101" s="113">
        <v>3000</v>
      </c>
      <c r="J101" s="113">
        <v>3000</v>
      </c>
      <c r="K101" s="101">
        <f>E101*95%</f>
        <v>3363.1244499999998</v>
      </c>
      <c r="L101" s="164">
        <f t="shared" si="14"/>
        <v>3000</v>
      </c>
      <c r="M101" s="164"/>
      <c r="N101" s="113">
        <v>3000</v>
      </c>
      <c r="O101" s="164"/>
      <c r="Q101" s="208"/>
      <c r="R101" s="208"/>
      <c r="S101" s="208"/>
      <c r="T101" s="208"/>
      <c r="U101" s="208"/>
      <c r="V101" s="208"/>
      <c r="W101" s="208"/>
      <c r="X101" s="208"/>
      <c r="Y101" s="208"/>
      <c r="Z101" s="208">
        <v>3000</v>
      </c>
    </row>
    <row r="102" spans="1:26" s="234" customFormat="1" ht="66" hidden="1">
      <c r="A102" s="114" t="s">
        <v>313</v>
      </c>
      <c r="B102" s="58" t="s">
        <v>282</v>
      </c>
      <c r="C102" s="158" t="s">
        <v>246</v>
      </c>
      <c r="D102" s="109" t="s">
        <v>283</v>
      </c>
      <c r="E102" s="91">
        <f t="shared" si="15"/>
        <v>1271.595855</v>
      </c>
      <c r="F102" s="144"/>
      <c r="G102" s="164">
        <v>1271.595855</v>
      </c>
      <c r="H102" s="144"/>
      <c r="I102" s="164">
        <v>1271.595855</v>
      </c>
      <c r="J102" s="164">
        <v>1271.595855</v>
      </c>
      <c r="K102" s="101">
        <f>E102*97%</f>
        <v>1233.44797935</v>
      </c>
      <c r="L102" s="144">
        <f>N102</f>
        <v>1233.44797935</v>
      </c>
      <c r="M102" s="144"/>
      <c r="N102" s="144">
        <f>K102</f>
        <v>1233.44797935</v>
      </c>
      <c r="O102" s="144"/>
      <c r="Q102" s="235"/>
      <c r="R102" s="235"/>
      <c r="S102" s="235"/>
      <c r="T102" s="235"/>
      <c r="U102" s="235"/>
      <c r="V102" s="235"/>
      <c r="W102" s="235"/>
      <c r="X102" s="235"/>
      <c r="Y102" s="235"/>
      <c r="Z102" s="235"/>
    </row>
    <row r="103" spans="1:26" s="232" customFormat="1" ht="66">
      <c r="A103" s="114" t="s">
        <v>314</v>
      </c>
      <c r="B103" s="58" t="s">
        <v>284</v>
      </c>
      <c r="C103" s="158" t="s">
        <v>246</v>
      </c>
      <c r="D103" s="109" t="s">
        <v>285</v>
      </c>
      <c r="E103" s="91">
        <f t="shared" si="15"/>
        <v>8800</v>
      </c>
      <c r="F103" s="163"/>
      <c r="G103" s="164">
        <f>8800-H103</f>
        <v>2400</v>
      </c>
      <c r="H103" s="164">
        <v>6400</v>
      </c>
      <c r="I103" s="113">
        <f>6400+1600</f>
        <v>8000</v>
      </c>
      <c r="J103" s="113">
        <v>1600</v>
      </c>
      <c r="K103" s="101">
        <f>E103*97%</f>
        <v>8536</v>
      </c>
      <c r="L103" s="101">
        <v>8000</v>
      </c>
      <c r="M103" s="101"/>
      <c r="N103" s="164">
        <v>1600</v>
      </c>
      <c r="O103" s="101"/>
      <c r="P103" s="232">
        <v>1</v>
      </c>
      <c r="Q103" s="233"/>
      <c r="R103" s="233"/>
      <c r="S103" s="233"/>
      <c r="T103" s="233"/>
      <c r="U103" s="233"/>
      <c r="V103" s="233"/>
      <c r="W103" s="233"/>
      <c r="X103" s="233"/>
      <c r="Y103" s="233"/>
      <c r="Z103" s="233">
        <v>1600</v>
      </c>
    </row>
    <row r="104" spans="1:26" s="232" customFormat="1" ht="66">
      <c r="A104" s="114" t="s">
        <v>315</v>
      </c>
      <c r="B104" s="58" t="s">
        <v>286</v>
      </c>
      <c r="C104" s="158" t="s">
        <v>246</v>
      </c>
      <c r="D104" s="109" t="s">
        <v>287</v>
      </c>
      <c r="E104" s="91">
        <f t="shared" si="15"/>
        <v>4346.3270000000002</v>
      </c>
      <c r="F104" s="163"/>
      <c r="G104" s="164">
        <v>500</v>
      </c>
      <c r="H104" s="164">
        <f>4346.327-G104</f>
        <v>3846.3270000000002</v>
      </c>
      <c r="I104" s="164">
        <v>4346.3270000000002</v>
      </c>
      <c r="J104" s="164">
        <v>500</v>
      </c>
      <c r="K104" s="164">
        <v>4346.3270000000002</v>
      </c>
      <c r="L104" s="164">
        <v>4346.3270000000002</v>
      </c>
      <c r="M104" s="101"/>
      <c r="N104" s="164">
        <v>500</v>
      </c>
      <c r="O104" s="101"/>
      <c r="P104" s="232">
        <v>1</v>
      </c>
      <c r="Q104" s="233"/>
      <c r="R104" s="233"/>
      <c r="S104" s="233"/>
      <c r="T104" s="233"/>
      <c r="U104" s="233"/>
      <c r="V104" s="233"/>
      <c r="W104" s="233"/>
      <c r="X104" s="233"/>
      <c r="Y104" s="233"/>
      <c r="Z104" s="233">
        <v>500</v>
      </c>
    </row>
    <row r="105" spans="1:26" s="32" customFormat="1" ht="66" hidden="1">
      <c r="A105" s="114" t="s">
        <v>316</v>
      </c>
      <c r="B105" s="78" t="s">
        <v>288</v>
      </c>
      <c r="C105" s="158" t="s">
        <v>246</v>
      </c>
      <c r="D105" s="109" t="s">
        <v>289</v>
      </c>
      <c r="E105" s="91">
        <f t="shared" si="15"/>
        <v>5861.1379999999999</v>
      </c>
      <c r="F105" s="101">
        <v>3500</v>
      </c>
      <c r="G105" s="101">
        <f>5861.138-3500</f>
        <v>2361.1379999999999</v>
      </c>
      <c r="H105" s="101"/>
      <c r="I105" s="113">
        <f>3500+1600</f>
        <v>5100</v>
      </c>
      <c r="J105" s="113">
        <v>1600</v>
      </c>
      <c r="K105" s="101">
        <f>E105*95%</f>
        <v>5568.0810999999994</v>
      </c>
      <c r="L105" s="101">
        <v>5100</v>
      </c>
      <c r="M105" s="101"/>
      <c r="N105" s="101">
        <f>J105</f>
        <v>1600</v>
      </c>
      <c r="O105" s="101"/>
      <c r="Q105" s="208"/>
      <c r="R105" s="208"/>
      <c r="S105" s="208"/>
      <c r="T105" s="208"/>
      <c r="U105" s="208"/>
      <c r="V105" s="208"/>
      <c r="W105" s="208"/>
      <c r="X105" s="208"/>
      <c r="Y105" s="208"/>
      <c r="Z105" s="208"/>
    </row>
    <row r="106" spans="1:26" s="222" customFormat="1" ht="66" hidden="1">
      <c r="A106" s="114" t="s">
        <v>317</v>
      </c>
      <c r="B106" s="151" t="s">
        <v>290</v>
      </c>
      <c r="C106" s="158" t="s">
        <v>246</v>
      </c>
      <c r="D106" s="152" t="s">
        <v>291</v>
      </c>
      <c r="E106" s="91">
        <f t="shared" si="15"/>
        <v>29440.141</v>
      </c>
      <c r="F106" s="144">
        <v>7000</v>
      </c>
      <c r="G106" s="144">
        <f>29440.141-7000</f>
        <v>22440.141</v>
      </c>
      <c r="H106" s="144"/>
      <c r="I106" s="144">
        <v>29440</v>
      </c>
      <c r="J106" s="144">
        <f>29440-7000</f>
        <v>22440</v>
      </c>
      <c r="K106" s="165">
        <f>E106*35%</f>
        <v>10304.049349999999</v>
      </c>
      <c r="L106" s="101">
        <f>I106*50%</f>
        <v>14720</v>
      </c>
      <c r="M106" s="101"/>
      <c r="N106" s="101">
        <f>L106-7000</f>
        <v>7720</v>
      </c>
      <c r="O106" s="166"/>
      <c r="Q106" s="223"/>
      <c r="R106" s="223"/>
      <c r="S106" s="223"/>
      <c r="T106" s="223"/>
      <c r="U106" s="223"/>
      <c r="V106" s="223"/>
      <c r="W106" s="223"/>
      <c r="X106" s="223"/>
      <c r="Y106" s="223"/>
      <c r="Z106" s="223"/>
    </row>
    <row r="107" spans="1:26" s="32" customFormat="1" ht="66">
      <c r="A107" s="114" t="s">
        <v>318</v>
      </c>
      <c r="B107" s="58" t="s">
        <v>276</v>
      </c>
      <c r="C107" s="64" t="s">
        <v>33</v>
      </c>
      <c r="D107" s="109" t="s">
        <v>277</v>
      </c>
      <c r="E107" s="91">
        <f>F107+G107+H107</f>
        <v>7136</v>
      </c>
      <c r="F107" s="49"/>
      <c r="G107" s="164">
        <v>7136</v>
      </c>
      <c r="H107" s="144"/>
      <c r="I107" s="113">
        <v>2730</v>
      </c>
      <c r="J107" s="113">
        <v>2730</v>
      </c>
      <c r="K107" s="101">
        <f>E107*70%</f>
        <v>4995.2</v>
      </c>
      <c r="L107" s="164">
        <f>N107</f>
        <v>2730</v>
      </c>
      <c r="M107" s="164">
        <v>2680.9360000000001</v>
      </c>
      <c r="N107" s="164">
        <v>2730</v>
      </c>
      <c r="O107" s="164"/>
      <c r="P107" s="32">
        <v>1</v>
      </c>
      <c r="Q107" s="208"/>
      <c r="R107" s="208"/>
      <c r="S107" s="208"/>
      <c r="T107" s="208"/>
      <c r="U107" s="208"/>
      <c r="V107" s="208"/>
      <c r="W107" s="208"/>
      <c r="X107" s="208"/>
      <c r="Y107" s="208"/>
      <c r="Z107" s="208">
        <v>5000</v>
      </c>
    </row>
    <row r="108" spans="1:26" s="232" customFormat="1" ht="82.5" hidden="1">
      <c r="A108" s="114" t="s">
        <v>319</v>
      </c>
      <c r="B108" s="162" t="s">
        <v>32</v>
      </c>
      <c r="C108" s="64" t="s">
        <v>33</v>
      </c>
      <c r="D108" s="109" t="s">
        <v>292</v>
      </c>
      <c r="E108" s="91">
        <f t="shared" si="15"/>
        <v>43146</v>
      </c>
      <c r="F108" s="144"/>
      <c r="G108" s="144">
        <v>43146</v>
      </c>
      <c r="H108" s="144"/>
      <c r="I108" s="113">
        <v>29000</v>
      </c>
      <c r="J108" s="113">
        <v>29000</v>
      </c>
      <c r="K108" s="101">
        <f>E108*30%</f>
        <v>12943.8</v>
      </c>
      <c r="L108" s="101">
        <f>N108</f>
        <v>15000</v>
      </c>
      <c r="M108" s="101">
        <v>12170.174000000001</v>
      </c>
      <c r="N108" s="101">
        <v>15000</v>
      </c>
      <c r="O108" s="101"/>
      <c r="Q108" s="233"/>
      <c r="R108" s="233"/>
      <c r="S108" s="233"/>
      <c r="T108" s="233"/>
      <c r="U108" s="233"/>
      <c r="V108" s="233"/>
      <c r="W108" s="233"/>
      <c r="X108" s="233"/>
      <c r="Y108" s="233"/>
      <c r="Z108" s="233">
        <v>14000</v>
      </c>
    </row>
    <row r="109" spans="1:26" s="32" customFormat="1" ht="66" hidden="1">
      <c r="A109" s="114" t="s">
        <v>320</v>
      </c>
      <c r="B109" s="58" t="s">
        <v>293</v>
      </c>
      <c r="C109" s="64" t="s">
        <v>33</v>
      </c>
      <c r="D109" s="109" t="s">
        <v>294</v>
      </c>
      <c r="E109" s="91">
        <f t="shared" si="15"/>
        <v>5000</v>
      </c>
      <c r="F109" s="49"/>
      <c r="G109" s="113">
        <v>5000</v>
      </c>
      <c r="H109" s="144"/>
      <c r="I109" s="113">
        <v>4990</v>
      </c>
      <c r="J109" s="113">
        <v>4990</v>
      </c>
      <c r="K109" s="113">
        <v>4990</v>
      </c>
      <c r="L109" s="113">
        <v>4990</v>
      </c>
      <c r="M109" s="113"/>
      <c r="N109" s="113">
        <v>4990</v>
      </c>
      <c r="O109" s="163"/>
      <c r="Q109" s="208"/>
      <c r="R109" s="208"/>
      <c r="S109" s="208"/>
      <c r="T109" s="208"/>
      <c r="U109" s="208"/>
      <c r="V109" s="208"/>
      <c r="W109" s="208"/>
      <c r="X109" s="208"/>
      <c r="Y109" s="208"/>
      <c r="Z109" s="208">
        <v>3000</v>
      </c>
    </row>
    <row r="110" spans="1:26" s="32" customFormat="1" ht="66" hidden="1">
      <c r="A110" s="114" t="s">
        <v>321</v>
      </c>
      <c r="B110" s="58" t="s">
        <v>295</v>
      </c>
      <c r="C110" s="64" t="s">
        <v>33</v>
      </c>
      <c r="D110" s="109" t="s">
        <v>296</v>
      </c>
      <c r="E110" s="91">
        <f t="shared" si="15"/>
        <v>9360.3889999999992</v>
      </c>
      <c r="F110" s="49"/>
      <c r="G110" s="113">
        <v>9360.3889999999992</v>
      </c>
      <c r="H110" s="144"/>
      <c r="I110" s="113">
        <v>8000</v>
      </c>
      <c r="J110" s="113">
        <v>8000</v>
      </c>
      <c r="K110" s="113">
        <f>E110*60%</f>
        <v>5616.2333999999992</v>
      </c>
      <c r="L110" s="113">
        <f>N110</f>
        <v>8000</v>
      </c>
      <c r="M110" s="113"/>
      <c r="N110" s="113">
        <f>J110</f>
        <v>8000</v>
      </c>
      <c r="O110" s="163"/>
      <c r="Q110" s="208"/>
      <c r="R110" s="208"/>
      <c r="S110" s="208"/>
      <c r="T110" s="208"/>
      <c r="U110" s="208"/>
      <c r="V110" s="208"/>
      <c r="W110" s="208"/>
      <c r="X110" s="208"/>
      <c r="Y110" s="208"/>
      <c r="Z110" s="208">
        <v>6500</v>
      </c>
    </row>
    <row r="111" spans="1:26" s="32" customFormat="1" ht="82.5" hidden="1">
      <c r="A111" s="114" t="s">
        <v>322</v>
      </c>
      <c r="B111" s="58" t="s">
        <v>299</v>
      </c>
      <c r="C111" s="64" t="s">
        <v>33</v>
      </c>
      <c r="D111" s="109" t="s">
        <v>300</v>
      </c>
      <c r="E111" s="91">
        <f t="shared" si="15"/>
        <v>14963</v>
      </c>
      <c r="F111" s="49"/>
      <c r="G111" s="164">
        <v>14963</v>
      </c>
      <c r="H111" s="144"/>
      <c r="I111" s="113">
        <v>8000</v>
      </c>
      <c r="J111" s="113">
        <v>8000</v>
      </c>
      <c r="K111" s="113">
        <f>E111*55%</f>
        <v>8229.6500000000015</v>
      </c>
      <c r="L111" s="113">
        <v>8000</v>
      </c>
      <c r="M111" s="113"/>
      <c r="N111" s="113">
        <v>8000</v>
      </c>
      <c r="O111" s="163"/>
      <c r="Q111" s="208"/>
      <c r="R111" s="208"/>
      <c r="S111" s="208"/>
      <c r="T111" s="208"/>
      <c r="U111" s="208"/>
      <c r="V111" s="208"/>
      <c r="W111" s="208"/>
      <c r="X111" s="208"/>
      <c r="Y111" s="208"/>
      <c r="Z111" s="208">
        <v>6000</v>
      </c>
    </row>
    <row r="112" spans="1:26" s="83" customFormat="1" ht="82.5" hidden="1">
      <c r="A112" s="114" t="s">
        <v>334</v>
      </c>
      <c r="B112" s="58" t="s">
        <v>332</v>
      </c>
      <c r="C112" s="64" t="s">
        <v>33</v>
      </c>
      <c r="D112" s="109" t="s">
        <v>333</v>
      </c>
      <c r="E112" s="91">
        <f t="shared" si="15"/>
        <v>2231.3119999999999</v>
      </c>
      <c r="F112" s="49"/>
      <c r="G112" s="164">
        <v>2231.3119999999999</v>
      </c>
      <c r="H112" s="144"/>
      <c r="I112" s="113">
        <v>2000</v>
      </c>
      <c r="J112" s="113">
        <v>2000</v>
      </c>
      <c r="K112" s="113">
        <f>E112*55%</f>
        <v>1227.2216000000001</v>
      </c>
      <c r="L112" s="113">
        <v>2000</v>
      </c>
      <c r="M112" s="113"/>
      <c r="N112" s="113">
        <v>2000</v>
      </c>
      <c r="O112" s="163"/>
      <c r="Q112" s="82"/>
      <c r="R112" s="82"/>
      <c r="S112" s="82"/>
      <c r="T112" s="82"/>
      <c r="U112" s="82"/>
      <c r="V112" s="82"/>
      <c r="W112" s="82"/>
      <c r="X112" s="82"/>
      <c r="Y112" s="82"/>
      <c r="Z112" s="82"/>
    </row>
    <row r="113" spans="1:26" s="83" customFormat="1" ht="33" hidden="1">
      <c r="A113" s="114"/>
      <c r="B113" s="58" t="s">
        <v>813</v>
      </c>
      <c r="C113" s="64"/>
      <c r="D113" s="109"/>
      <c r="E113" s="91"/>
      <c r="F113" s="49"/>
      <c r="G113" s="164"/>
      <c r="H113" s="144"/>
      <c r="I113" s="113">
        <v>4000</v>
      </c>
      <c r="J113" s="113">
        <v>4000</v>
      </c>
      <c r="K113" s="113"/>
      <c r="L113" s="113"/>
      <c r="M113" s="113"/>
      <c r="N113" s="113"/>
      <c r="O113" s="163"/>
      <c r="Q113" s="82"/>
      <c r="R113" s="82"/>
      <c r="S113" s="82"/>
      <c r="T113" s="82"/>
      <c r="U113" s="82"/>
      <c r="V113" s="82"/>
      <c r="W113" s="82"/>
      <c r="X113" s="82"/>
      <c r="Y113" s="82"/>
      <c r="Z113" s="82">
        <v>4000</v>
      </c>
    </row>
    <row r="114" spans="1:26" s="83" customFormat="1" ht="33" hidden="1">
      <c r="A114" s="114"/>
      <c r="B114" s="58" t="s">
        <v>781</v>
      </c>
      <c r="C114" s="64"/>
      <c r="D114" s="109"/>
      <c r="E114" s="91"/>
      <c r="F114" s="49"/>
      <c r="G114" s="164"/>
      <c r="H114" s="144"/>
      <c r="I114" s="113"/>
      <c r="J114" s="113">
        <v>500</v>
      </c>
      <c r="K114" s="113"/>
      <c r="L114" s="113"/>
      <c r="M114" s="113"/>
      <c r="N114" s="113">
        <v>500</v>
      </c>
      <c r="O114" s="163"/>
      <c r="Q114" s="82"/>
      <c r="R114" s="82"/>
      <c r="S114" s="82"/>
      <c r="T114" s="82"/>
      <c r="U114" s="82"/>
      <c r="V114" s="82">
        <v>500</v>
      </c>
      <c r="W114" s="82"/>
      <c r="X114" s="82"/>
      <c r="Y114" s="82"/>
      <c r="Z114" s="82"/>
    </row>
    <row r="115" spans="1:26" s="83" customFormat="1" ht="49.5" hidden="1">
      <c r="A115" s="114"/>
      <c r="B115" s="58" t="s">
        <v>782</v>
      </c>
      <c r="C115" s="64">
        <v>2018</v>
      </c>
      <c r="D115" s="109" t="s">
        <v>783</v>
      </c>
      <c r="E115" s="91">
        <v>3517</v>
      </c>
      <c r="F115" s="49"/>
      <c r="G115" s="164">
        <f>E115</f>
        <v>3517</v>
      </c>
      <c r="H115" s="144"/>
      <c r="I115" s="265">
        <f>1928.915+1500</f>
        <v>3428.915</v>
      </c>
      <c r="J115" s="265">
        <f>1928.915+1500</f>
        <v>3428.915</v>
      </c>
      <c r="K115" s="79">
        <v>3428.915</v>
      </c>
      <c r="L115" s="195">
        <f>1928.915+1500</f>
        <v>3428.915</v>
      </c>
      <c r="M115" s="195">
        <f>1928.915+1500</f>
        <v>3428.915</v>
      </c>
      <c r="N115" s="195">
        <f>1928.915+1500</f>
        <v>3428.915</v>
      </c>
      <c r="O115" s="195"/>
      <c r="P115" s="331"/>
      <c r="Q115" s="195"/>
      <c r="R115" s="195"/>
      <c r="S115" s="195"/>
      <c r="T115" s="195"/>
      <c r="U115" s="195"/>
      <c r="V115" s="195">
        <f>1928.915+1500</f>
        <v>3428.915</v>
      </c>
      <c r="W115" s="195"/>
      <c r="X115" s="195"/>
      <c r="Y115" s="195">
        <v>1928.915</v>
      </c>
      <c r="Z115" s="195"/>
    </row>
    <row r="116" spans="1:26" s="83" customFormat="1" ht="66">
      <c r="A116" s="114"/>
      <c r="B116" s="58" t="s">
        <v>784</v>
      </c>
      <c r="C116" s="64">
        <v>2016</v>
      </c>
      <c r="D116" s="109" t="s">
        <v>785</v>
      </c>
      <c r="E116" s="91">
        <v>3263</v>
      </c>
      <c r="F116" s="49"/>
      <c r="G116" s="164">
        <v>3263</v>
      </c>
      <c r="H116" s="144"/>
      <c r="I116" s="113">
        <f>1626.904+950</f>
        <v>2576.904</v>
      </c>
      <c r="J116" s="113">
        <v>950</v>
      </c>
      <c r="K116" s="113">
        <v>2892.692</v>
      </c>
      <c r="L116" s="113">
        <f>I116</f>
        <v>2576.904</v>
      </c>
      <c r="M116" s="113">
        <v>950</v>
      </c>
      <c r="N116" s="113">
        <v>950</v>
      </c>
      <c r="O116" s="163"/>
      <c r="P116" s="83">
        <v>1</v>
      </c>
      <c r="Q116" s="82"/>
      <c r="R116" s="82"/>
      <c r="S116" s="82"/>
      <c r="T116" s="82"/>
      <c r="U116" s="82"/>
      <c r="V116" s="82">
        <v>950</v>
      </c>
      <c r="W116" s="82"/>
      <c r="X116" s="82"/>
      <c r="Y116" s="82"/>
      <c r="Z116" s="82"/>
    </row>
    <row r="117" spans="1:26" s="83" customFormat="1" ht="49.5">
      <c r="A117" s="114"/>
      <c r="B117" s="58" t="s">
        <v>787</v>
      </c>
      <c r="C117" s="64"/>
      <c r="D117" s="109"/>
      <c r="E117" s="91"/>
      <c r="F117" s="49"/>
      <c r="G117" s="164"/>
      <c r="H117" s="144"/>
      <c r="I117" s="113"/>
      <c r="J117" s="113">
        <v>218.45400000000001</v>
      </c>
      <c r="K117" s="113"/>
      <c r="L117" s="113"/>
      <c r="M117" s="113">
        <v>218.45400000000001</v>
      </c>
      <c r="N117" s="113">
        <v>218.45400000000001</v>
      </c>
      <c r="O117" s="163"/>
      <c r="P117" s="83">
        <v>1</v>
      </c>
      <c r="Q117" s="82"/>
      <c r="R117" s="82"/>
      <c r="S117" s="82"/>
      <c r="T117" s="82"/>
      <c r="U117" s="82"/>
      <c r="V117" s="113">
        <v>218.45400000000001</v>
      </c>
      <c r="W117" s="113"/>
      <c r="X117" s="113"/>
      <c r="Y117" s="113"/>
      <c r="Z117" s="113"/>
    </row>
    <row r="118" spans="1:26" s="83" customFormat="1" ht="49.5" hidden="1">
      <c r="A118" s="114"/>
      <c r="B118" s="58" t="s">
        <v>788</v>
      </c>
      <c r="C118" s="64"/>
      <c r="D118" s="109"/>
      <c r="E118" s="91"/>
      <c r="F118" s="49"/>
      <c r="G118" s="164"/>
      <c r="H118" s="144"/>
      <c r="I118" s="113"/>
      <c r="J118" s="113">
        <v>701.76499999999999</v>
      </c>
      <c r="K118" s="113"/>
      <c r="L118" s="113"/>
      <c r="M118" s="113">
        <v>701.76499999999999</v>
      </c>
      <c r="N118" s="113">
        <v>701.76499999999999</v>
      </c>
      <c r="O118" s="163"/>
      <c r="Q118" s="82"/>
      <c r="R118" s="82"/>
      <c r="S118" s="82"/>
      <c r="T118" s="82"/>
      <c r="U118" s="82"/>
      <c r="V118" s="113">
        <v>701.76499999999999</v>
      </c>
      <c r="W118" s="113"/>
      <c r="X118" s="113"/>
      <c r="Y118" s="113"/>
      <c r="Z118" s="113"/>
    </row>
    <row r="119" spans="1:26" s="83" customFormat="1" ht="16.5" hidden="1">
      <c r="A119" s="114"/>
      <c r="B119" s="58" t="s">
        <v>792</v>
      </c>
      <c r="C119" s="64"/>
      <c r="D119" s="109"/>
      <c r="E119" s="91"/>
      <c r="F119" s="49"/>
      <c r="G119" s="164"/>
      <c r="H119" s="144"/>
      <c r="I119" s="113"/>
      <c r="J119" s="113">
        <v>450</v>
      </c>
      <c r="K119" s="113"/>
      <c r="L119" s="113"/>
      <c r="M119" s="113">
        <v>450</v>
      </c>
      <c r="N119" s="113">
        <v>450</v>
      </c>
      <c r="O119" s="163"/>
      <c r="Q119" s="82"/>
      <c r="R119" s="82"/>
      <c r="S119" s="82"/>
      <c r="T119" s="82"/>
      <c r="U119" s="82"/>
      <c r="V119" s="113"/>
      <c r="W119" s="113"/>
      <c r="X119" s="113">
        <v>450</v>
      </c>
      <c r="Y119" s="113"/>
      <c r="Z119" s="113"/>
    </row>
    <row r="120" spans="1:26" s="83" customFormat="1" ht="66" hidden="1">
      <c r="A120" s="114"/>
      <c r="B120" s="58" t="s">
        <v>815</v>
      </c>
      <c r="C120" s="64">
        <v>2020</v>
      </c>
      <c r="D120" s="109" t="s">
        <v>816</v>
      </c>
      <c r="E120" s="91">
        <v>1165.731</v>
      </c>
      <c r="F120" s="49"/>
      <c r="G120" s="164">
        <v>1165.731</v>
      </c>
      <c r="H120" s="144"/>
      <c r="I120" s="113">
        <v>1071.6020000000001</v>
      </c>
      <c r="J120" s="113">
        <v>1071.6020000000001</v>
      </c>
      <c r="K120" s="113"/>
      <c r="L120" s="113"/>
      <c r="M120" s="113">
        <v>1071.6020000000001</v>
      </c>
      <c r="N120" s="113">
        <v>1071.6020000000001</v>
      </c>
      <c r="O120" s="163"/>
      <c r="Q120" s="82"/>
      <c r="R120" s="82"/>
      <c r="S120" s="82"/>
      <c r="T120" s="82"/>
      <c r="U120" s="82"/>
      <c r="V120" s="113"/>
      <c r="W120" s="113"/>
      <c r="X120" s="113"/>
      <c r="Y120" s="113"/>
      <c r="Z120" s="113">
        <v>1200</v>
      </c>
    </row>
    <row r="121" spans="1:26" s="83" customFormat="1" ht="31.5">
      <c r="A121" s="114"/>
      <c r="B121" s="252" t="s">
        <v>757</v>
      </c>
      <c r="C121" s="64"/>
      <c r="D121" s="109"/>
      <c r="E121" s="91"/>
      <c r="F121" s="49"/>
      <c r="G121" s="164"/>
      <c r="H121" s="144"/>
      <c r="I121" s="113"/>
      <c r="J121" s="253">
        <v>600</v>
      </c>
      <c r="K121" s="113"/>
      <c r="L121" s="113"/>
      <c r="M121" s="253">
        <v>600</v>
      </c>
      <c r="N121" s="253">
        <v>600</v>
      </c>
      <c r="O121" s="163"/>
      <c r="P121" s="83">
        <v>1</v>
      </c>
      <c r="Q121" s="82"/>
      <c r="R121" s="82"/>
      <c r="S121" s="82"/>
      <c r="T121" s="82"/>
      <c r="U121" s="82"/>
      <c r="V121" s="82"/>
      <c r="W121" s="82"/>
      <c r="X121" s="82">
        <v>525</v>
      </c>
      <c r="Y121" s="82"/>
      <c r="Z121" s="82"/>
    </row>
    <row r="122" spans="1:26" s="83" customFormat="1" ht="82.5">
      <c r="A122" s="114"/>
      <c r="B122" s="252" t="s">
        <v>779</v>
      </c>
      <c r="C122" s="64">
        <v>2016</v>
      </c>
      <c r="D122" s="109" t="s">
        <v>780</v>
      </c>
      <c r="E122" s="91">
        <v>557.58900000000006</v>
      </c>
      <c r="F122" s="49">
        <v>500</v>
      </c>
      <c r="G122" s="164">
        <f>+E122-F122</f>
        <v>57.589000000000055</v>
      </c>
      <c r="H122" s="144"/>
      <c r="I122" s="113">
        <v>549.23699999999997</v>
      </c>
      <c r="J122" s="253">
        <v>49.237000000000002</v>
      </c>
      <c r="K122" s="113">
        <v>549.23699999999997</v>
      </c>
      <c r="L122" s="113">
        <v>549.23699999999997</v>
      </c>
      <c r="M122" s="253">
        <v>49.237000000000002</v>
      </c>
      <c r="N122" s="253">
        <v>49.237000000000002</v>
      </c>
      <c r="O122" s="163"/>
      <c r="P122" s="83">
        <v>1</v>
      </c>
      <c r="Q122" s="82"/>
      <c r="R122" s="82"/>
      <c r="S122" s="82"/>
      <c r="T122" s="82"/>
      <c r="U122" s="82"/>
      <c r="V122" s="82"/>
      <c r="W122" s="82"/>
      <c r="X122" s="82">
        <v>49.994999999999997</v>
      </c>
      <c r="Y122" s="82"/>
      <c r="Z122" s="82"/>
    </row>
    <row r="123" spans="1:26" s="83" customFormat="1" ht="47.25" hidden="1">
      <c r="A123" s="114"/>
      <c r="B123" s="252" t="s">
        <v>806</v>
      </c>
      <c r="C123" s="64"/>
      <c r="D123" s="109"/>
      <c r="E123" s="91"/>
      <c r="F123" s="49"/>
      <c r="G123" s="164"/>
      <c r="H123" s="144"/>
      <c r="I123" s="113"/>
      <c r="J123" s="82">
        <v>72.444000000000003</v>
      </c>
      <c r="K123" s="113"/>
      <c r="L123" s="113"/>
      <c r="M123" s="82">
        <v>72.444000000000003</v>
      </c>
      <c r="N123" s="82">
        <v>72.444000000000003</v>
      </c>
      <c r="O123" s="163"/>
      <c r="Q123" s="82"/>
      <c r="R123" s="82"/>
      <c r="S123" s="82"/>
      <c r="T123" s="82"/>
      <c r="U123" s="82"/>
      <c r="V123" s="82"/>
      <c r="W123" s="82"/>
      <c r="X123" s="82">
        <v>72.444000000000003</v>
      </c>
      <c r="Y123" s="82"/>
      <c r="Z123" s="82"/>
    </row>
    <row r="124" spans="1:26" s="83" customFormat="1" ht="16.5" hidden="1">
      <c r="A124" s="114"/>
      <c r="B124" s="58" t="s">
        <v>777</v>
      </c>
      <c r="C124" s="64"/>
      <c r="D124" s="109"/>
      <c r="E124" s="91"/>
      <c r="F124" s="49"/>
      <c r="G124" s="164"/>
      <c r="H124" s="144"/>
      <c r="I124" s="113"/>
      <c r="J124" s="113">
        <v>400</v>
      </c>
      <c r="K124" s="113"/>
      <c r="L124" s="113"/>
      <c r="M124" s="113">
        <v>400</v>
      </c>
      <c r="N124" s="113">
        <v>400</v>
      </c>
      <c r="O124" s="163"/>
      <c r="Q124" s="82"/>
      <c r="R124" s="82"/>
      <c r="S124" s="82"/>
      <c r="T124" s="82"/>
      <c r="U124" s="82"/>
      <c r="V124" s="82"/>
      <c r="W124" s="82"/>
      <c r="X124" s="82">
        <v>400</v>
      </c>
      <c r="Y124" s="82"/>
      <c r="Z124" s="82"/>
    </row>
    <row r="125" spans="1:26" s="83" customFormat="1" ht="66" hidden="1">
      <c r="A125" s="114"/>
      <c r="B125" s="58" t="s">
        <v>812</v>
      </c>
      <c r="C125" s="64"/>
      <c r="D125" s="109"/>
      <c r="E125" s="91"/>
      <c r="F125" s="49"/>
      <c r="G125" s="164"/>
      <c r="H125" s="144"/>
      <c r="I125" s="113"/>
      <c r="J125" s="113">
        <v>3000</v>
      </c>
      <c r="K125" s="113"/>
      <c r="L125" s="113"/>
      <c r="M125" s="113">
        <v>3000</v>
      </c>
      <c r="N125" s="113">
        <v>3000</v>
      </c>
      <c r="O125" s="163"/>
      <c r="Q125" s="82"/>
      <c r="R125" s="82"/>
      <c r="S125" s="82"/>
      <c r="T125" s="82"/>
      <c r="U125" s="82"/>
      <c r="V125" s="82"/>
      <c r="W125" s="82"/>
      <c r="X125" s="82">
        <v>3000</v>
      </c>
      <c r="Y125" s="82"/>
      <c r="Z125" s="82"/>
    </row>
    <row r="126" spans="1:26" s="83" customFormat="1" ht="33" hidden="1">
      <c r="A126" s="114"/>
      <c r="B126" s="58" t="s">
        <v>814</v>
      </c>
      <c r="C126" s="64"/>
      <c r="D126" s="109"/>
      <c r="E126" s="91"/>
      <c r="F126" s="49"/>
      <c r="G126" s="164"/>
      <c r="H126" s="144"/>
      <c r="I126" s="113"/>
      <c r="J126" s="113">
        <v>2000</v>
      </c>
      <c r="K126" s="113"/>
      <c r="L126" s="113"/>
      <c r="M126" s="113"/>
      <c r="N126" s="113"/>
      <c r="O126" s="163"/>
      <c r="Q126" s="82"/>
      <c r="R126" s="82"/>
      <c r="S126" s="82"/>
      <c r="T126" s="82"/>
      <c r="U126" s="82"/>
      <c r="V126" s="82"/>
      <c r="W126" s="82"/>
      <c r="X126" s="82"/>
      <c r="Y126" s="82"/>
      <c r="Z126" s="82">
        <v>2000</v>
      </c>
    </row>
    <row r="127" spans="1:26" s="83" customFormat="1" ht="82.5" hidden="1">
      <c r="A127" s="34" t="s">
        <v>744</v>
      </c>
      <c r="B127" s="75" t="s">
        <v>342</v>
      </c>
      <c r="C127" s="76" t="s">
        <v>343</v>
      </c>
      <c r="D127" s="76" t="s">
        <v>344</v>
      </c>
      <c r="E127" s="33">
        <v>3773</v>
      </c>
      <c r="F127" s="33">
        <v>2641</v>
      </c>
      <c r="G127" s="33">
        <f>E127-F127</f>
        <v>1132</v>
      </c>
      <c r="H127" s="33"/>
      <c r="I127" s="33">
        <v>3586</v>
      </c>
      <c r="J127" s="33">
        <v>1086</v>
      </c>
      <c r="K127" s="33">
        <v>3586</v>
      </c>
      <c r="L127" s="33">
        <v>3586</v>
      </c>
      <c r="M127" s="33">
        <v>1086</v>
      </c>
      <c r="N127" s="33">
        <v>1086</v>
      </c>
      <c r="O127" s="82"/>
      <c r="Q127" s="82"/>
      <c r="R127" s="82"/>
      <c r="S127" s="82"/>
      <c r="T127" s="82"/>
      <c r="U127" s="82"/>
      <c r="V127" s="82"/>
      <c r="W127" s="82"/>
      <c r="X127" s="82"/>
      <c r="Y127" s="82"/>
      <c r="Z127" s="82"/>
    </row>
    <row r="128" spans="1:26" s="210" customFormat="1" ht="33" hidden="1">
      <c r="A128" s="167" t="s">
        <v>29</v>
      </c>
      <c r="B128" s="266" t="s">
        <v>341</v>
      </c>
      <c r="C128" s="23"/>
      <c r="D128" s="168"/>
      <c r="E128" s="169">
        <f t="shared" ref="E128:N128" si="16">+E129+E137+E145+E147+E157+E180+E190+E195+E228+E246+E271+E276+E288+E303+E336+E342</f>
        <v>287464.77599999995</v>
      </c>
      <c r="F128" s="169">
        <f t="shared" si="16"/>
        <v>12213.7</v>
      </c>
      <c r="G128" s="169">
        <f t="shared" si="16"/>
        <v>82070.877899999992</v>
      </c>
      <c r="H128" s="169">
        <f t="shared" si="16"/>
        <v>144473.94410000002</v>
      </c>
      <c r="I128" s="169">
        <f t="shared" si="16"/>
        <v>231800.61100000003</v>
      </c>
      <c r="J128" s="169">
        <f t="shared" si="16"/>
        <v>107940.6189</v>
      </c>
      <c r="K128" s="169">
        <f t="shared" si="16"/>
        <v>252881.56899999999</v>
      </c>
      <c r="L128" s="169">
        <f t="shared" si="16"/>
        <v>207675.655</v>
      </c>
      <c r="M128" s="169">
        <f t="shared" si="16"/>
        <v>105312.83200000001</v>
      </c>
      <c r="N128" s="169">
        <f t="shared" si="16"/>
        <v>107940.6189</v>
      </c>
      <c r="O128" s="171"/>
      <c r="Q128" s="211"/>
      <c r="R128" s="211"/>
      <c r="S128" s="211"/>
      <c r="T128" s="211"/>
      <c r="U128" s="211"/>
      <c r="V128" s="211"/>
      <c r="W128" s="211"/>
      <c r="X128" s="211"/>
      <c r="Y128" s="211"/>
      <c r="Z128" s="211"/>
    </row>
    <row r="129" spans="1:26" s="210" customFormat="1" ht="16.5" hidden="1">
      <c r="A129" s="167" t="s">
        <v>20</v>
      </c>
      <c r="B129" s="266" t="s">
        <v>359</v>
      </c>
      <c r="C129" s="23"/>
      <c r="D129" s="168"/>
      <c r="E129" s="169">
        <f>SUM(E130:E136)</f>
        <v>7297</v>
      </c>
      <c r="F129" s="169">
        <f t="shared" ref="F129:N129" si="17">SUM(F130:F136)</f>
        <v>0</v>
      </c>
      <c r="G129" s="169">
        <f t="shared" si="17"/>
        <v>3465</v>
      </c>
      <c r="H129" s="169">
        <f t="shared" si="17"/>
        <v>3832</v>
      </c>
      <c r="I129" s="169">
        <f t="shared" si="17"/>
        <v>5954</v>
      </c>
      <c r="J129" s="169">
        <f t="shared" si="17"/>
        <v>3750</v>
      </c>
      <c r="K129" s="169">
        <f t="shared" si="17"/>
        <v>6484</v>
      </c>
      <c r="L129" s="169">
        <f t="shared" si="17"/>
        <v>5169</v>
      </c>
      <c r="M129" s="169">
        <f t="shared" si="17"/>
        <v>3397</v>
      </c>
      <c r="N129" s="169">
        <f t="shared" si="17"/>
        <v>3750</v>
      </c>
      <c r="O129" s="171"/>
      <c r="Q129" s="211"/>
      <c r="R129" s="211"/>
      <c r="S129" s="211"/>
      <c r="T129" s="211"/>
      <c r="U129" s="211"/>
      <c r="V129" s="211"/>
      <c r="W129" s="211"/>
      <c r="X129" s="211"/>
      <c r="Y129" s="211"/>
      <c r="Z129" s="211"/>
    </row>
    <row r="130" spans="1:26" s="83" customFormat="1" ht="49.5" hidden="1">
      <c r="A130" s="34" t="s">
        <v>21</v>
      </c>
      <c r="B130" s="58" t="s">
        <v>345</v>
      </c>
      <c r="C130" s="76">
        <v>2017</v>
      </c>
      <c r="D130" s="46" t="s">
        <v>346</v>
      </c>
      <c r="E130" s="33">
        <v>1254</v>
      </c>
      <c r="F130" s="33"/>
      <c r="G130" s="33">
        <v>400</v>
      </c>
      <c r="H130" s="33">
        <f>E130-G130</f>
        <v>854</v>
      </c>
      <c r="I130" s="33">
        <v>1105</v>
      </c>
      <c r="J130" s="33">
        <v>350</v>
      </c>
      <c r="K130" s="33">
        <v>1139</v>
      </c>
      <c r="L130" s="33">
        <f>M130</f>
        <v>350</v>
      </c>
      <c r="M130" s="33">
        <v>350</v>
      </c>
      <c r="N130" s="33">
        <v>350</v>
      </c>
      <c r="O130" s="82"/>
      <c r="Q130" s="82"/>
      <c r="R130" s="82"/>
      <c r="S130" s="82"/>
      <c r="T130" s="82"/>
      <c r="U130" s="82"/>
      <c r="V130" s="82"/>
      <c r="W130" s="82"/>
      <c r="X130" s="82"/>
      <c r="Y130" s="82"/>
      <c r="Z130" s="82"/>
    </row>
    <row r="131" spans="1:26" s="83" customFormat="1" ht="66" hidden="1">
      <c r="A131" s="34" t="s">
        <v>28</v>
      </c>
      <c r="B131" s="58" t="s">
        <v>347</v>
      </c>
      <c r="C131" s="76" t="s">
        <v>156</v>
      </c>
      <c r="D131" s="46" t="s">
        <v>348</v>
      </c>
      <c r="E131" s="33">
        <v>366</v>
      </c>
      <c r="F131" s="33"/>
      <c r="G131" s="33">
        <v>150</v>
      </c>
      <c r="H131" s="33">
        <f>E131-G131</f>
        <v>216</v>
      </c>
      <c r="I131" s="33">
        <v>329</v>
      </c>
      <c r="J131" s="33">
        <v>100</v>
      </c>
      <c r="K131" s="33">
        <v>366</v>
      </c>
      <c r="L131" s="33">
        <v>329</v>
      </c>
      <c r="M131" s="33">
        <v>100</v>
      </c>
      <c r="N131" s="33">
        <v>100</v>
      </c>
      <c r="O131" s="82"/>
      <c r="Q131" s="82"/>
      <c r="R131" s="82"/>
      <c r="S131" s="82"/>
      <c r="T131" s="82"/>
      <c r="U131" s="82"/>
      <c r="V131" s="82"/>
      <c r="W131" s="82"/>
      <c r="X131" s="82"/>
      <c r="Y131" s="82"/>
      <c r="Z131" s="82"/>
    </row>
    <row r="132" spans="1:26" s="83" customFormat="1" ht="66" hidden="1">
      <c r="A132" s="34" t="s">
        <v>24</v>
      </c>
      <c r="B132" s="58" t="s">
        <v>349</v>
      </c>
      <c r="C132" s="76">
        <v>2017</v>
      </c>
      <c r="D132" s="46" t="s">
        <v>350</v>
      </c>
      <c r="E132" s="33">
        <f>H132</f>
        <v>1010</v>
      </c>
      <c r="F132" s="33"/>
      <c r="G132" s="33"/>
      <c r="H132" s="33">
        <v>1010</v>
      </c>
      <c r="I132" s="33">
        <v>928</v>
      </c>
      <c r="J132" s="33">
        <v>100</v>
      </c>
      <c r="K132" s="33">
        <v>928</v>
      </c>
      <c r="L132" s="33">
        <v>928</v>
      </c>
      <c r="M132" s="33">
        <v>100</v>
      </c>
      <c r="N132" s="33">
        <v>100</v>
      </c>
      <c r="O132" s="82"/>
      <c r="Q132" s="82"/>
      <c r="R132" s="82"/>
      <c r="S132" s="82"/>
      <c r="T132" s="82"/>
      <c r="U132" s="82"/>
      <c r="V132" s="82"/>
      <c r="W132" s="82"/>
      <c r="X132" s="82"/>
      <c r="Y132" s="82"/>
      <c r="Z132" s="82"/>
    </row>
    <row r="133" spans="1:26" s="83" customFormat="1" ht="66">
      <c r="A133" s="34" t="s">
        <v>25</v>
      </c>
      <c r="B133" s="58" t="s">
        <v>351</v>
      </c>
      <c r="C133" s="76">
        <v>2019</v>
      </c>
      <c r="D133" s="46" t="s">
        <v>352</v>
      </c>
      <c r="E133" s="33">
        <f>G133</f>
        <v>1715</v>
      </c>
      <c r="F133" s="33"/>
      <c r="G133" s="33">
        <v>1715</v>
      </c>
      <c r="H133" s="33"/>
      <c r="I133" s="33">
        <f>1350+30</f>
        <v>1380</v>
      </c>
      <c r="J133" s="33">
        <f>850+500</f>
        <v>1350</v>
      </c>
      <c r="K133" s="33">
        <v>1627</v>
      </c>
      <c r="L133" s="33">
        <f>M133</f>
        <v>1350</v>
      </c>
      <c r="M133" s="33">
        <v>1350</v>
      </c>
      <c r="N133" s="33">
        <v>1350</v>
      </c>
      <c r="O133" s="82"/>
      <c r="P133" s="83">
        <v>1</v>
      </c>
      <c r="Q133" s="82"/>
      <c r="R133" s="82"/>
      <c r="S133" s="82"/>
      <c r="T133" s="82"/>
      <c r="U133" s="82"/>
      <c r="V133" s="82"/>
      <c r="W133" s="82"/>
      <c r="X133" s="82">
        <v>500</v>
      </c>
      <c r="Y133" s="82"/>
      <c r="Z133" s="82"/>
    </row>
    <row r="134" spans="1:26" s="83" customFormat="1" ht="49.5" hidden="1">
      <c r="A134" s="34" t="s">
        <v>26</v>
      </c>
      <c r="B134" s="58" t="s">
        <v>353</v>
      </c>
      <c r="C134" s="76">
        <v>2017</v>
      </c>
      <c r="D134" s="46" t="s">
        <v>354</v>
      </c>
      <c r="E134" s="33">
        <v>1097</v>
      </c>
      <c r="F134" s="33"/>
      <c r="G134" s="33"/>
      <c r="H134" s="33">
        <v>1097</v>
      </c>
      <c r="I134" s="33">
        <v>500</v>
      </c>
      <c r="J134" s="33">
        <v>500</v>
      </c>
      <c r="K134" s="33">
        <v>712</v>
      </c>
      <c r="L134" s="33">
        <f>M134</f>
        <v>500</v>
      </c>
      <c r="M134" s="33">
        <v>500</v>
      </c>
      <c r="N134" s="33">
        <v>500</v>
      </c>
      <c r="O134" s="82"/>
      <c r="Q134" s="82"/>
      <c r="R134" s="82"/>
      <c r="S134" s="82"/>
      <c r="T134" s="82"/>
      <c r="U134" s="82"/>
      <c r="V134" s="82"/>
      <c r="W134" s="82"/>
      <c r="X134" s="82">
        <v>500</v>
      </c>
      <c r="Y134" s="82"/>
      <c r="Z134" s="82"/>
    </row>
    <row r="135" spans="1:26" s="83" customFormat="1" ht="49.5" hidden="1">
      <c r="A135" s="34" t="s">
        <v>27</v>
      </c>
      <c r="B135" s="58" t="s">
        <v>355</v>
      </c>
      <c r="C135" s="76" t="s">
        <v>219</v>
      </c>
      <c r="D135" s="46" t="s">
        <v>356</v>
      </c>
      <c r="E135" s="33">
        <v>1173</v>
      </c>
      <c r="F135" s="33"/>
      <c r="G135" s="33">
        <v>700</v>
      </c>
      <c r="H135" s="33">
        <f>E135-G135</f>
        <v>473</v>
      </c>
      <c r="I135" s="33">
        <v>1067</v>
      </c>
      <c r="J135" s="33">
        <f>700+150</f>
        <v>850</v>
      </c>
      <c r="K135" s="33">
        <v>1067</v>
      </c>
      <c r="L135" s="33">
        <v>1067</v>
      </c>
      <c r="M135" s="33">
        <v>700</v>
      </c>
      <c r="N135" s="33">
        <v>850</v>
      </c>
      <c r="O135" s="82"/>
      <c r="Q135" s="82"/>
      <c r="R135" s="82"/>
      <c r="S135" s="82"/>
      <c r="T135" s="82"/>
      <c r="U135" s="82"/>
      <c r="V135" s="82"/>
      <c r="W135" s="82"/>
      <c r="X135" s="82" t="s">
        <v>324</v>
      </c>
      <c r="Y135" s="82"/>
      <c r="Z135" s="82"/>
    </row>
    <row r="136" spans="1:26" s="83" customFormat="1" ht="66" hidden="1">
      <c r="A136" s="34" t="s">
        <v>47</v>
      </c>
      <c r="B136" s="58" t="s">
        <v>357</v>
      </c>
      <c r="C136" s="76">
        <v>2020</v>
      </c>
      <c r="D136" s="46" t="s">
        <v>358</v>
      </c>
      <c r="E136" s="33">
        <v>682</v>
      </c>
      <c r="F136" s="33"/>
      <c r="G136" s="33">
        <v>500</v>
      </c>
      <c r="H136" s="33">
        <f>E136-G136</f>
        <v>182</v>
      </c>
      <c r="I136" s="33">
        <v>645</v>
      </c>
      <c r="J136" s="33">
        <v>500</v>
      </c>
      <c r="K136" s="33">
        <v>645</v>
      </c>
      <c r="L136" s="33">
        <v>645</v>
      </c>
      <c r="M136" s="33">
        <v>297</v>
      </c>
      <c r="N136" s="33">
        <v>500</v>
      </c>
      <c r="O136" s="82"/>
      <c r="Q136" s="82"/>
      <c r="R136" s="82"/>
      <c r="S136" s="82"/>
      <c r="T136" s="82"/>
      <c r="U136" s="82"/>
      <c r="V136" s="82"/>
      <c r="W136" s="82"/>
      <c r="X136" s="82"/>
      <c r="Y136" s="82"/>
      <c r="Z136" s="82"/>
    </row>
    <row r="137" spans="1:26" s="210" customFormat="1" ht="16.5" hidden="1">
      <c r="A137" s="167" t="s">
        <v>23</v>
      </c>
      <c r="B137" s="266" t="s">
        <v>374</v>
      </c>
      <c r="C137" s="23"/>
      <c r="D137" s="168"/>
      <c r="E137" s="169">
        <f>SUM(E138:E144)</f>
        <v>17432</v>
      </c>
      <c r="F137" s="169">
        <f t="shared" ref="F137:N137" si="18">SUM(F138:F144)</f>
        <v>0</v>
      </c>
      <c r="G137" s="169">
        <f t="shared" si="18"/>
        <v>10000</v>
      </c>
      <c r="H137" s="169">
        <f t="shared" si="18"/>
        <v>7432</v>
      </c>
      <c r="I137" s="169">
        <f t="shared" si="18"/>
        <v>10100</v>
      </c>
      <c r="J137" s="169">
        <f t="shared" si="18"/>
        <v>8876</v>
      </c>
      <c r="K137" s="169">
        <f t="shared" si="18"/>
        <v>15785</v>
      </c>
      <c r="L137" s="169">
        <f t="shared" si="18"/>
        <v>10100</v>
      </c>
      <c r="M137" s="169">
        <f t="shared" si="18"/>
        <v>8876</v>
      </c>
      <c r="N137" s="169">
        <f t="shared" si="18"/>
        <v>8876</v>
      </c>
      <c r="O137" s="171"/>
      <c r="Q137" s="211"/>
      <c r="R137" s="211"/>
      <c r="S137" s="211"/>
      <c r="T137" s="211"/>
      <c r="U137" s="211"/>
      <c r="V137" s="211"/>
      <c r="W137" s="211"/>
      <c r="X137" s="211"/>
      <c r="Y137" s="211"/>
      <c r="Z137" s="211"/>
    </row>
    <row r="138" spans="1:26" s="83" customFormat="1" ht="49.5" hidden="1">
      <c r="A138" s="34" t="s">
        <v>21</v>
      </c>
      <c r="B138" s="58" t="s">
        <v>360</v>
      </c>
      <c r="C138" s="76" t="s">
        <v>365</v>
      </c>
      <c r="D138" s="46" t="s">
        <v>361</v>
      </c>
      <c r="E138" s="33">
        <v>1203</v>
      </c>
      <c r="F138" s="33">
        <v>0</v>
      </c>
      <c r="G138" s="33">
        <v>700</v>
      </c>
      <c r="H138" s="33">
        <f t="shared" ref="H138:H144" si="19">E138-G138</f>
        <v>503</v>
      </c>
      <c r="I138" s="33">
        <v>700</v>
      </c>
      <c r="J138" s="33">
        <v>700</v>
      </c>
      <c r="K138" s="33">
        <v>1044</v>
      </c>
      <c r="L138" s="33">
        <v>700</v>
      </c>
      <c r="M138" s="33">
        <v>700</v>
      </c>
      <c r="N138" s="33">
        <v>700</v>
      </c>
      <c r="O138" s="82"/>
      <c r="Q138" s="82"/>
      <c r="R138" s="82"/>
      <c r="S138" s="82"/>
      <c r="T138" s="82"/>
      <c r="U138" s="82"/>
      <c r="V138" s="82"/>
      <c r="W138" s="82"/>
      <c r="X138" s="82">
        <v>350</v>
      </c>
      <c r="Y138" s="82"/>
      <c r="Z138" s="82"/>
    </row>
    <row r="139" spans="1:26" s="83" customFormat="1" ht="49.5" hidden="1">
      <c r="A139" s="34" t="s">
        <v>28</v>
      </c>
      <c r="B139" s="58" t="s">
        <v>362</v>
      </c>
      <c r="C139" s="76" t="s">
        <v>206</v>
      </c>
      <c r="D139" s="46" t="s">
        <v>363</v>
      </c>
      <c r="E139" s="33">
        <v>2813</v>
      </c>
      <c r="F139" s="33">
        <v>0</v>
      </c>
      <c r="G139" s="33">
        <v>1600</v>
      </c>
      <c r="H139" s="33">
        <f t="shared" si="19"/>
        <v>1213</v>
      </c>
      <c r="I139" s="33">
        <v>1600</v>
      </c>
      <c r="J139" s="33">
        <v>1600</v>
      </c>
      <c r="K139" s="33">
        <v>2535</v>
      </c>
      <c r="L139" s="33">
        <v>1600</v>
      </c>
      <c r="M139" s="33">
        <v>1600</v>
      </c>
      <c r="N139" s="33">
        <v>1600</v>
      </c>
      <c r="O139" s="82"/>
      <c r="Q139" s="82"/>
      <c r="R139" s="82"/>
      <c r="S139" s="82"/>
      <c r="T139" s="82"/>
      <c r="U139" s="82"/>
      <c r="V139" s="82"/>
      <c r="W139" s="82"/>
      <c r="X139" s="82">
        <v>700</v>
      </c>
      <c r="Y139" s="82"/>
      <c r="Z139" s="82"/>
    </row>
    <row r="140" spans="1:26" s="83" customFormat="1" ht="49.5">
      <c r="A140" s="34" t="s">
        <v>24</v>
      </c>
      <c r="B140" s="58" t="s">
        <v>364</v>
      </c>
      <c r="C140" s="76" t="s">
        <v>365</v>
      </c>
      <c r="D140" s="46" t="s">
        <v>366</v>
      </c>
      <c r="E140" s="33">
        <v>2989</v>
      </c>
      <c r="F140" s="33">
        <v>0</v>
      </c>
      <c r="G140" s="33">
        <v>1200</v>
      </c>
      <c r="H140" s="33">
        <f t="shared" si="19"/>
        <v>1789</v>
      </c>
      <c r="I140" s="33">
        <v>1300</v>
      </c>
      <c r="J140" s="33">
        <v>1300</v>
      </c>
      <c r="K140" s="33">
        <v>2859</v>
      </c>
      <c r="L140" s="33">
        <v>1300</v>
      </c>
      <c r="M140" s="33">
        <v>1300</v>
      </c>
      <c r="N140" s="33">
        <v>1300</v>
      </c>
      <c r="O140" s="82"/>
      <c r="P140" s="83">
        <v>1</v>
      </c>
      <c r="Q140" s="82"/>
      <c r="R140" s="82"/>
      <c r="S140" s="82"/>
      <c r="T140" s="82"/>
      <c r="U140" s="82"/>
      <c r="V140" s="82"/>
      <c r="W140" s="82"/>
      <c r="X140" s="82">
        <v>1300</v>
      </c>
      <c r="Y140" s="82"/>
      <c r="Z140" s="82"/>
    </row>
    <row r="141" spans="1:26" s="83" customFormat="1" ht="49.5">
      <c r="A141" s="34" t="s">
        <v>25</v>
      </c>
      <c r="B141" s="58" t="s">
        <v>367</v>
      </c>
      <c r="C141" s="76" t="s">
        <v>368</v>
      </c>
      <c r="D141" s="46" t="s">
        <v>369</v>
      </c>
      <c r="E141" s="33">
        <v>2917</v>
      </c>
      <c r="F141" s="33">
        <v>0</v>
      </c>
      <c r="G141" s="33">
        <v>1000</v>
      </c>
      <c r="H141" s="33">
        <f t="shared" si="19"/>
        <v>1917</v>
      </c>
      <c r="I141" s="33">
        <v>1000</v>
      </c>
      <c r="J141" s="33">
        <v>1000</v>
      </c>
      <c r="K141" s="33">
        <v>2314</v>
      </c>
      <c r="L141" s="33">
        <v>1000</v>
      </c>
      <c r="M141" s="33">
        <v>1000</v>
      </c>
      <c r="N141" s="33">
        <v>1000</v>
      </c>
      <c r="O141" s="82"/>
      <c r="P141" s="83">
        <v>1</v>
      </c>
      <c r="Q141" s="82"/>
      <c r="R141" s="82"/>
      <c r="S141" s="82"/>
      <c r="T141" s="82"/>
      <c r="U141" s="82"/>
      <c r="V141" s="82"/>
      <c r="W141" s="82"/>
      <c r="X141" s="82"/>
      <c r="Y141" s="82"/>
      <c r="Z141" s="82"/>
    </row>
    <row r="142" spans="1:26" s="83" customFormat="1" ht="33" hidden="1">
      <c r="A142" s="34" t="s">
        <v>26</v>
      </c>
      <c r="B142" s="58" t="s">
        <v>370</v>
      </c>
      <c r="C142" s="76" t="s">
        <v>246</v>
      </c>
      <c r="D142" s="46" t="s">
        <v>371</v>
      </c>
      <c r="E142" s="33">
        <v>4540</v>
      </c>
      <c r="F142" s="33">
        <v>0</v>
      </c>
      <c r="G142" s="33">
        <v>3000</v>
      </c>
      <c r="H142" s="33">
        <f t="shared" si="19"/>
        <v>1540</v>
      </c>
      <c r="I142" s="33">
        <v>3000</v>
      </c>
      <c r="J142" s="33">
        <v>2120</v>
      </c>
      <c r="K142" s="33">
        <v>4240</v>
      </c>
      <c r="L142" s="33">
        <v>3000</v>
      </c>
      <c r="M142" s="33">
        <v>2120</v>
      </c>
      <c r="N142" s="33">
        <v>2120</v>
      </c>
      <c r="O142" s="82"/>
      <c r="Q142" s="82"/>
      <c r="R142" s="82"/>
      <c r="S142" s="82"/>
      <c r="T142" s="82"/>
      <c r="U142" s="82"/>
      <c r="V142" s="82"/>
      <c r="W142" s="82"/>
      <c r="X142" s="82"/>
      <c r="Y142" s="82"/>
      <c r="Z142" s="82"/>
    </row>
    <row r="143" spans="1:26" s="83" customFormat="1" ht="49.5" hidden="1">
      <c r="A143" s="34"/>
      <c r="B143" s="58" t="s">
        <v>758</v>
      </c>
      <c r="C143" s="76"/>
      <c r="D143" s="46"/>
      <c r="E143" s="33"/>
      <c r="F143" s="33"/>
      <c r="G143" s="33"/>
      <c r="H143" s="33"/>
      <c r="I143" s="33"/>
      <c r="J143" s="33">
        <v>300</v>
      </c>
      <c r="K143" s="33"/>
      <c r="L143" s="33"/>
      <c r="M143" s="33">
        <v>300</v>
      </c>
      <c r="N143" s="33">
        <v>300</v>
      </c>
      <c r="O143" s="82"/>
      <c r="Q143" s="82"/>
      <c r="R143" s="82"/>
      <c r="S143" s="82"/>
      <c r="T143" s="82"/>
      <c r="U143" s="82"/>
      <c r="V143" s="82"/>
      <c r="W143" s="82"/>
      <c r="X143" s="82">
        <v>300</v>
      </c>
      <c r="Y143" s="82"/>
      <c r="Z143" s="82"/>
    </row>
    <row r="144" spans="1:26" s="83" customFormat="1" ht="49.5">
      <c r="A144" s="34" t="s">
        <v>27</v>
      </c>
      <c r="B144" s="58" t="s">
        <v>372</v>
      </c>
      <c r="C144" s="76" t="s">
        <v>246</v>
      </c>
      <c r="D144" s="46" t="s">
        <v>373</v>
      </c>
      <c r="E144" s="33">
        <v>2970</v>
      </c>
      <c r="F144" s="33">
        <v>0</v>
      </c>
      <c r="G144" s="33">
        <v>2500</v>
      </c>
      <c r="H144" s="33">
        <f t="shared" si="19"/>
        <v>470</v>
      </c>
      <c r="I144" s="33">
        <v>2500</v>
      </c>
      <c r="J144" s="33">
        <v>1856</v>
      </c>
      <c r="K144" s="33">
        <v>2793</v>
      </c>
      <c r="L144" s="33">
        <v>2500</v>
      </c>
      <c r="M144" s="33">
        <f>1356+500</f>
        <v>1856</v>
      </c>
      <c r="N144" s="33">
        <v>1856</v>
      </c>
      <c r="O144" s="82"/>
      <c r="P144" s="83">
        <v>1</v>
      </c>
      <c r="Q144" s="82"/>
      <c r="R144" s="82"/>
      <c r="S144" s="82"/>
      <c r="T144" s="82"/>
      <c r="U144" s="82"/>
      <c r="V144" s="82"/>
      <c r="W144" s="82"/>
      <c r="X144" s="82"/>
      <c r="Y144" s="82"/>
      <c r="Z144" s="82"/>
    </row>
    <row r="145" spans="1:26" s="210" customFormat="1" ht="16.5" hidden="1">
      <c r="A145" s="167" t="s">
        <v>98</v>
      </c>
      <c r="B145" s="266" t="s">
        <v>378</v>
      </c>
      <c r="C145" s="23"/>
      <c r="D145" s="168"/>
      <c r="E145" s="169">
        <f>SUM(E146)</f>
        <v>3827</v>
      </c>
      <c r="F145" s="169">
        <f t="shared" ref="F145:N145" si="20">SUM(F146)</f>
        <v>0</v>
      </c>
      <c r="G145" s="169">
        <f t="shared" si="20"/>
        <v>1500</v>
      </c>
      <c r="H145" s="169">
        <f t="shared" si="20"/>
        <v>2327</v>
      </c>
      <c r="I145" s="169">
        <f t="shared" si="20"/>
        <v>3389</v>
      </c>
      <c r="J145" s="169">
        <f t="shared" si="20"/>
        <v>1500</v>
      </c>
      <c r="K145" s="169">
        <f t="shared" si="20"/>
        <v>3472</v>
      </c>
      <c r="L145" s="169">
        <f t="shared" si="20"/>
        <v>3389</v>
      </c>
      <c r="M145" s="169">
        <f t="shared" si="20"/>
        <v>1500</v>
      </c>
      <c r="N145" s="169">
        <f t="shared" si="20"/>
        <v>1500</v>
      </c>
      <c r="O145" s="171"/>
      <c r="Q145" s="211"/>
      <c r="R145" s="211"/>
      <c r="S145" s="211"/>
      <c r="T145" s="211"/>
      <c r="U145" s="211"/>
      <c r="V145" s="211"/>
      <c r="W145" s="211"/>
      <c r="X145" s="211"/>
      <c r="Y145" s="211"/>
      <c r="Z145" s="211"/>
    </row>
    <row r="146" spans="1:26" s="83" customFormat="1" ht="82.5" hidden="1">
      <c r="A146" s="34" t="s">
        <v>21</v>
      </c>
      <c r="B146" s="58" t="s">
        <v>375</v>
      </c>
      <c r="C146" s="76" t="s">
        <v>376</v>
      </c>
      <c r="D146" s="46" t="s">
        <v>377</v>
      </c>
      <c r="E146" s="33">
        <v>3827</v>
      </c>
      <c r="F146" s="33"/>
      <c r="G146" s="33">
        <v>1500</v>
      </c>
      <c r="H146" s="33">
        <v>2327</v>
      </c>
      <c r="I146" s="33">
        <v>3389</v>
      </c>
      <c r="J146" s="33">
        <v>1500</v>
      </c>
      <c r="K146" s="33">
        <v>3472</v>
      </c>
      <c r="L146" s="33">
        <v>3389</v>
      </c>
      <c r="M146" s="33">
        <v>1500</v>
      </c>
      <c r="N146" s="33">
        <v>1500</v>
      </c>
      <c r="O146" s="82"/>
      <c r="Q146" s="82"/>
      <c r="R146" s="82"/>
      <c r="S146" s="82"/>
      <c r="T146" s="82"/>
      <c r="U146" s="82"/>
      <c r="V146" s="82"/>
      <c r="W146" s="82"/>
      <c r="X146" s="82"/>
      <c r="Y146" s="82"/>
      <c r="Z146" s="82"/>
    </row>
    <row r="147" spans="1:26" s="210" customFormat="1" ht="16.5" hidden="1">
      <c r="A147" s="167" t="s">
        <v>100</v>
      </c>
      <c r="B147" s="266" t="s">
        <v>397</v>
      </c>
      <c r="C147" s="23"/>
      <c r="D147" s="168"/>
      <c r="E147" s="169">
        <f>+E148+E150+E151</f>
        <v>12487</v>
      </c>
      <c r="F147" s="169">
        <f t="shared" ref="F147:N147" si="21">+F148+F150+F151</f>
        <v>2780</v>
      </c>
      <c r="G147" s="169">
        <f t="shared" si="21"/>
        <v>3627</v>
      </c>
      <c r="H147" s="169">
        <f t="shared" si="21"/>
        <v>6080</v>
      </c>
      <c r="I147" s="169">
        <f t="shared" si="21"/>
        <v>11486</v>
      </c>
      <c r="J147" s="169">
        <f t="shared" si="21"/>
        <v>3627</v>
      </c>
      <c r="K147" s="169">
        <f t="shared" si="21"/>
        <v>11393</v>
      </c>
      <c r="L147" s="169">
        <f t="shared" si="21"/>
        <v>11788</v>
      </c>
      <c r="M147" s="169">
        <f t="shared" si="21"/>
        <v>3627</v>
      </c>
      <c r="N147" s="169">
        <f t="shared" si="21"/>
        <v>3627</v>
      </c>
      <c r="O147" s="171"/>
      <c r="Q147" s="211"/>
      <c r="R147" s="211"/>
      <c r="S147" s="211"/>
      <c r="T147" s="211"/>
      <c r="U147" s="211"/>
      <c r="V147" s="211"/>
      <c r="W147" s="211"/>
      <c r="X147" s="211"/>
      <c r="Y147" s="211"/>
      <c r="Z147" s="211"/>
    </row>
    <row r="148" spans="1:26" s="210" customFormat="1" ht="49.5" hidden="1">
      <c r="A148" s="246"/>
      <c r="B148" s="73" t="s">
        <v>379</v>
      </c>
      <c r="C148" s="247"/>
      <c r="D148" s="247"/>
      <c r="E148" s="37">
        <f t="shared" ref="E148:N148" si="22">E149</f>
        <v>1257</v>
      </c>
      <c r="F148" s="37">
        <f t="shared" si="22"/>
        <v>920</v>
      </c>
      <c r="G148" s="37">
        <f t="shared" si="22"/>
        <v>127</v>
      </c>
      <c r="H148" s="37">
        <f t="shared" si="22"/>
        <v>210</v>
      </c>
      <c r="I148" s="37">
        <f t="shared" si="22"/>
        <v>1252</v>
      </c>
      <c r="J148" s="37">
        <f t="shared" si="22"/>
        <v>127</v>
      </c>
      <c r="K148" s="37">
        <f t="shared" si="22"/>
        <v>1257</v>
      </c>
      <c r="L148" s="37">
        <f t="shared" si="22"/>
        <v>1252</v>
      </c>
      <c r="M148" s="37">
        <f t="shared" si="22"/>
        <v>127</v>
      </c>
      <c r="N148" s="37">
        <f t="shared" si="22"/>
        <v>127</v>
      </c>
      <c r="O148" s="211"/>
      <c r="Q148" s="211"/>
      <c r="R148" s="211"/>
      <c r="S148" s="211"/>
      <c r="T148" s="211"/>
      <c r="U148" s="211"/>
      <c r="V148" s="211"/>
      <c r="W148" s="211"/>
      <c r="X148" s="211"/>
      <c r="Y148" s="211"/>
      <c r="Z148" s="211"/>
    </row>
    <row r="149" spans="1:26" s="210" customFormat="1" ht="99" hidden="1">
      <c r="A149" s="34" t="s">
        <v>21</v>
      </c>
      <c r="B149" s="75" t="s">
        <v>380</v>
      </c>
      <c r="C149" s="76" t="s">
        <v>381</v>
      </c>
      <c r="D149" s="76" t="s">
        <v>382</v>
      </c>
      <c r="E149" s="33">
        <f>F149+G149+H149</f>
        <v>1257</v>
      </c>
      <c r="F149" s="33">
        <f>60+270+301+200+89</f>
        <v>920</v>
      </c>
      <c r="G149" s="33">
        <v>127</v>
      </c>
      <c r="H149" s="33">
        <f>1257-F149-G149</f>
        <v>210</v>
      </c>
      <c r="I149" s="33">
        <v>1252</v>
      </c>
      <c r="J149" s="33">
        <v>127</v>
      </c>
      <c r="K149" s="33">
        <v>1257</v>
      </c>
      <c r="L149" s="33">
        <v>1252</v>
      </c>
      <c r="M149" s="33">
        <v>127</v>
      </c>
      <c r="N149" s="33">
        <v>127</v>
      </c>
      <c r="O149" s="77" t="s">
        <v>383</v>
      </c>
      <c r="Q149" s="211"/>
      <c r="R149" s="211"/>
      <c r="S149" s="211"/>
      <c r="T149" s="211"/>
      <c r="U149" s="211"/>
      <c r="V149" s="211"/>
      <c r="W149" s="211"/>
      <c r="X149" s="211">
        <v>127.518</v>
      </c>
      <c r="Y149" s="211"/>
      <c r="Z149" s="211"/>
    </row>
    <row r="150" spans="1:26" s="210" customFormat="1" ht="33" hidden="1">
      <c r="A150" s="246"/>
      <c r="B150" s="22" t="s">
        <v>141</v>
      </c>
      <c r="C150" s="23"/>
      <c r="D150" s="24"/>
      <c r="E150" s="25"/>
      <c r="F150" s="25"/>
      <c r="G150" s="25"/>
      <c r="H150" s="25"/>
      <c r="I150" s="25"/>
      <c r="J150" s="25"/>
      <c r="K150" s="25"/>
      <c r="L150" s="25"/>
      <c r="M150" s="25"/>
      <c r="N150" s="25"/>
      <c r="O150" s="211"/>
      <c r="Q150" s="211"/>
      <c r="R150" s="211"/>
      <c r="S150" s="211"/>
      <c r="T150" s="211"/>
      <c r="U150" s="211"/>
      <c r="V150" s="211"/>
      <c r="W150" s="211"/>
      <c r="X150" s="211"/>
      <c r="Y150" s="211"/>
      <c r="Z150" s="211"/>
    </row>
    <row r="151" spans="1:26" s="210" customFormat="1" ht="33" hidden="1">
      <c r="A151" s="246"/>
      <c r="B151" s="22" t="s">
        <v>335</v>
      </c>
      <c r="C151" s="23"/>
      <c r="D151" s="24"/>
      <c r="E151" s="25">
        <f>SUM(E152:E156)</f>
        <v>11230</v>
      </c>
      <c r="F151" s="25">
        <f t="shared" ref="F151:N151" si="23">SUM(F152:F156)</f>
        <v>1860</v>
      </c>
      <c r="G151" s="25">
        <f t="shared" si="23"/>
        <v>3500</v>
      </c>
      <c r="H151" s="25">
        <f t="shared" si="23"/>
        <v>5870</v>
      </c>
      <c r="I151" s="25">
        <f t="shared" si="23"/>
        <v>10234</v>
      </c>
      <c r="J151" s="25">
        <f t="shared" si="23"/>
        <v>3500</v>
      </c>
      <c r="K151" s="25">
        <f t="shared" si="23"/>
        <v>10136</v>
      </c>
      <c r="L151" s="25">
        <f t="shared" si="23"/>
        <v>10536</v>
      </c>
      <c r="M151" s="25">
        <f t="shared" si="23"/>
        <v>3500</v>
      </c>
      <c r="N151" s="25">
        <f t="shared" si="23"/>
        <v>3500</v>
      </c>
      <c r="O151" s="211"/>
      <c r="Q151" s="211"/>
      <c r="R151" s="211"/>
      <c r="S151" s="211"/>
      <c r="T151" s="211"/>
      <c r="U151" s="211"/>
      <c r="V151" s="211"/>
      <c r="W151" s="211"/>
      <c r="X151" s="211"/>
      <c r="Y151" s="211"/>
      <c r="Z151" s="211"/>
    </row>
    <row r="152" spans="1:26" s="210" customFormat="1" ht="66">
      <c r="A152" s="34" t="s">
        <v>21</v>
      </c>
      <c r="B152" s="75" t="s">
        <v>384</v>
      </c>
      <c r="C152" s="76" t="s">
        <v>385</v>
      </c>
      <c r="D152" s="76" t="s">
        <v>386</v>
      </c>
      <c r="E152" s="33">
        <f>F152+G152+H152</f>
        <v>4698</v>
      </c>
      <c r="F152" s="33">
        <f>200+59+700+180</f>
        <v>1139</v>
      </c>
      <c r="G152" s="33">
        <v>1000</v>
      </c>
      <c r="H152" s="33">
        <f>4698-F152-G152</f>
        <v>2559</v>
      </c>
      <c r="I152" s="33">
        <v>4527</v>
      </c>
      <c r="J152" s="33">
        <v>1000</v>
      </c>
      <c r="K152" s="33">
        <v>4527</v>
      </c>
      <c r="L152" s="33">
        <v>4527</v>
      </c>
      <c r="M152" s="33">
        <v>1000</v>
      </c>
      <c r="N152" s="33">
        <v>1000</v>
      </c>
      <c r="O152" s="77" t="s">
        <v>383</v>
      </c>
      <c r="P152" s="210">
        <v>1</v>
      </c>
      <c r="Q152" s="211"/>
      <c r="R152" s="211"/>
      <c r="S152" s="211"/>
      <c r="T152" s="211"/>
      <c r="U152" s="211"/>
      <c r="V152" s="211"/>
      <c r="W152" s="211"/>
      <c r="X152" s="211">
        <v>500</v>
      </c>
      <c r="Y152" s="211"/>
      <c r="Z152" s="211"/>
    </row>
    <row r="153" spans="1:26" s="210" customFormat="1" ht="66" hidden="1">
      <c r="A153" s="34" t="s">
        <v>28</v>
      </c>
      <c r="B153" s="75" t="s">
        <v>387</v>
      </c>
      <c r="C153" s="76" t="s">
        <v>388</v>
      </c>
      <c r="D153" s="76" t="s">
        <v>389</v>
      </c>
      <c r="E153" s="33">
        <f>F153+G153+H153</f>
        <v>982</v>
      </c>
      <c r="F153" s="33">
        <v>0</v>
      </c>
      <c r="G153" s="33">
        <v>500</v>
      </c>
      <c r="H153" s="33">
        <f>982-F153-G153</f>
        <v>482</v>
      </c>
      <c r="I153" s="33">
        <v>700</v>
      </c>
      <c r="J153" s="33">
        <v>500</v>
      </c>
      <c r="K153" s="33">
        <v>982</v>
      </c>
      <c r="L153" s="33">
        <v>700</v>
      </c>
      <c r="M153" s="33">
        <v>500</v>
      </c>
      <c r="N153" s="33">
        <v>500</v>
      </c>
      <c r="O153" s="77" t="s">
        <v>383</v>
      </c>
      <c r="Q153" s="211"/>
      <c r="R153" s="211"/>
      <c r="S153" s="211"/>
      <c r="T153" s="211"/>
      <c r="U153" s="211"/>
      <c r="V153" s="211"/>
      <c r="W153" s="211"/>
      <c r="X153" s="211"/>
      <c r="Y153" s="211"/>
      <c r="Z153" s="211"/>
    </row>
    <row r="154" spans="1:26" s="210" customFormat="1" ht="99">
      <c r="A154" s="34" t="s">
        <v>24</v>
      </c>
      <c r="B154" s="75" t="s">
        <v>390</v>
      </c>
      <c r="C154" s="76" t="s">
        <v>391</v>
      </c>
      <c r="D154" s="76" t="s">
        <v>392</v>
      </c>
      <c r="E154" s="33">
        <f>F154+G154+H154</f>
        <v>311</v>
      </c>
      <c r="F154" s="33">
        <v>0</v>
      </c>
      <c r="G154" s="33">
        <v>300</v>
      </c>
      <c r="H154" s="33">
        <f>311-F154-G154</f>
        <v>11</v>
      </c>
      <c r="I154" s="33">
        <v>300</v>
      </c>
      <c r="J154" s="33">
        <v>300</v>
      </c>
      <c r="K154" s="33">
        <v>311</v>
      </c>
      <c r="L154" s="33">
        <v>300</v>
      </c>
      <c r="M154" s="33">
        <v>300</v>
      </c>
      <c r="N154" s="33">
        <v>300</v>
      </c>
      <c r="O154" s="77" t="s">
        <v>383</v>
      </c>
      <c r="P154" s="210">
        <v>1</v>
      </c>
      <c r="Q154" s="211"/>
      <c r="R154" s="211"/>
      <c r="S154" s="211"/>
      <c r="T154" s="211"/>
      <c r="U154" s="211"/>
      <c r="V154" s="211"/>
      <c r="W154" s="211"/>
      <c r="X154" s="211"/>
      <c r="Y154" s="211"/>
      <c r="Z154" s="211"/>
    </row>
    <row r="155" spans="1:26" s="210" customFormat="1" ht="66">
      <c r="A155" s="34" t="s">
        <v>25</v>
      </c>
      <c r="B155" s="75" t="s">
        <v>745</v>
      </c>
      <c r="C155" s="76" t="s">
        <v>746</v>
      </c>
      <c r="D155" s="76" t="s">
        <v>747</v>
      </c>
      <c r="E155" s="33">
        <v>4225</v>
      </c>
      <c r="F155" s="33">
        <v>721</v>
      </c>
      <c r="G155" s="33">
        <v>1000</v>
      </c>
      <c r="H155" s="33">
        <f>+E155-F155-G155</f>
        <v>2504</v>
      </c>
      <c r="I155" s="33">
        <v>3995</v>
      </c>
      <c r="J155" s="33">
        <v>1000</v>
      </c>
      <c r="K155" s="33">
        <v>4005</v>
      </c>
      <c r="L155" s="33">
        <v>3995</v>
      </c>
      <c r="M155" s="33">
        <v>1000</v>
      </c>
      <c r="N155" s="33">
        <v>1000</v>
      </c>
      <c r="O155" s="77"/>
      <c r="P155" s="210">
        <v>1</v>
      </c>
      <c r="Q155" s="211"/>
      <c r="R155" s="211"/>
      <c r="S155" s="211"/>
      <c r="T155" s="211"/>
      <c r="U155" s="211"/>
      <c r="V155" s="211"/>
      <c r="W155" s="211"/>
      <c r="X155" s="211"/>
      <c r="Y155" s="211"/>
      <c r="Z155" s="211"/>
    </row>
    <row r="156" spans="1:26" s="210" customFormat="1" ht="99" hidden="1">
      <c r="A156" s="34" t="s">
        <v>25</v>
      </c>
      <c r="B156" s="75" t="s">
        <v>393</v>
      </c>
      <c r="C156" s="76" t="s">
        <v>394</v>
      </c>
      <c r="D156" s="76" t="s">
        <v>395</v>
      </c>
      <c r="E156" s="33">
        <f>F156+G156+H156</f>
        <v>1014</v>
      </c>
      <c r="F156" s="33">
        <v>0</v>
      </c>
      <c r="G156" s="33">
        <v>700</v>
      </c>
      <c r="H156" s="33">
        <f>1014-F156-G156</f>
        <v>314</v>
      </c>
      <c r="I156" s="33">
        <v>712</v>
      </c>
      <c r="J156" s="33">
        <v>700</v>
      </c>
      <c r="K156" s="33">
        <v>311</v>
      </c>
      <c r="L156" s="33">
        <v>1014</v>
      </c>
      <c r="M156" s="33">
        <v>700</v>
      </c>
      <c r="N156" s="33">
        <v>700</v>
      </c>
      <c r="O156" s="77" t="s">
        <v>396</v>
      </c>
      <c r="Q156" s="211"/>
      <c r="R156" s="211"/>
      <c r="S156" s="211"/>
      <c r="T156" s="211"/>
      <c r="U156" s="211"/>
      <c r="V156" s="211"/>
      <c r="W156" s="211"/>
      <c r="X156" s="211"/>
      <c r="Y156" s="211"/>
      <c r="Z156" s="211"/>
    </row>
    <row r="157" spans="1:26" s="210" customFormat="1" ht="16.5" hidden="1">
      <c r="A157" s="167" t="s">
        <v>612</v>
      </c>
      <c r="B157" s="266" t="s">
        <v>416</v>
      </c>
      <c r="C157" s="23"/>
      <c r="D157" s="168"/>
      <c r="E157" s="169">
        <f>+E158+E159+E160</f>
        <v>14782.466999999999</v>
      </c>
      <c r="F157" s="169">
        <f t="shared" ref="F157:N157" si="24">+F158+F159+F160</f>
        <v>684.7</v>
      </c>
      <c r="G157" s="169">
        <f t="shared" si="24"/>
        <v>11254</v>
      </c>
      <c r="H157" s="169">
        <f t="shared" si="24"/>
        <v>2843.7669999999994</v>
      </c>
      <c r="I157" s="169">
        <f t="shared" si="24"/>
        <v>13343.511999999999</v>
      </c>
      <c r="J157" s="169">
        <f t="shared" si="24"/>
        <v>14168</v>
      </c>
      <c r="K157" s="169">
        <f t="shared" si="24"/>
        <v>14267.88</v>
      </c>
      <c r="L157" s="169">
        <f t="shared" si="24"/>
        <v>13701.068000000001</v>
      </c>
      <c r="M157" s="169">
        <f t="shared" si="24"/>
        <v>14168</v>
      </c>
      <c r="N157" s="169">
        <f t="shared" si="24"/>
        <v>14168</v>
      </c>
      <c r="O157" s="171"/>
      <c r="Q157" s="211"/>
      <c r="R157" s="211"/>
      <c r="S157" s="211"/>
      <c r="T157" s="211"/>
      <c r="U157" s="211"/>
      <c r="V157" s="211"/>
      <c r="W157" s="211"/>
      <c r="X157" s="211"/>
      <c r="Y157" s="211"/>
      <c r="Z157" s="211"/>
    </row>
    <row r="158" spans="1:26" s="210" customFormat="1" ht="49.5" hidden="1">
      <c r="A158" s="246"/>
      <c r="B158" s="73" t="s">
        <v>379</v>
      </c>
      <c r="C158" s="247"/>
      <c r="D158" s="247"/>
      <c r="E158" s="37"/>
      <c r="F158" s="37"/>
      <c r="G158" s="37"/>
      <c r="H158" s="37"/>
      <c r="I158" s="37"/>
      <c r="J158" s="37"/>
      <c r="K158" s="37"/>
      <c r="L158" s="37"/>
      <c r="M158" s="37"/>
      <c r="N158" s="37"/>
      <c r="O158" s="211"/>
      <c r="Q158" s="236"/>
      <c r="R158" s="211"/>
      <c r="S158" s="211"/>
      <c r="T158" s="211"/>
      <c r="U158" s="211"/>
      <c r="V158" s="211"/>
      <c r="W158" s="211"/>
      <c r="X158" s="211"/>
      <c r="Y158" s="211"/>
      <c r="Z158" s="211"/>
    </row>
    <row r="159" spans="1:26" s="210" customFormat="1" ht="33" hidden="1">
      <c r="A159" s="246"/>
      <c r="B159" s="22" t="s">
        <v>141</v>
      </c>
      <c r="C159" s="23"/>
      <c r="D159" s="24"/>
      <c r="E159" s="25"/>
      <c r="F159" s="25"/>
      <c r="G159" s="25"/>
      <c r="H159" s="25"/>
      <c r="I159" s="25"/>
      <c r="J159" s="25"/>
      <c r="K159" s="25"/>
      <c r="L159" s="25"/>
      <c r="M159" s="25"/>
      <c r="N159" s="25"/>
      <c r="O159" s="211"/>
      <c r="Q159" s="211"/>
      <c r="R159" s="211"/>
      <c r="S159" s="211"/>
      <c r="T159" s="211"/>
      <c r="U159" s="211"/>
      <c r="V159" s="211"/>
      <c r="W159" s="211"/>
      <c r="X159" s="211"/>
      <c r="Y159" s="211"/>
      <c r="Z159" s="211"/>
    </row>
    <row r="160" spans="1:26" s="210" customFormat="1" ht="33" hidden="1">
      <c r="A160" s="246"/>
      <c r="B160" s="22" t="s">
        <v>335</v>
      </c>
      <c r="C160" s="23"/>
      <c r="D160" s="24"/>
      <c r="E160" s="25">
        <f t="shared" ref="E160:N160" si="25">SUM(E161:E179)</f>
        <v>14782.466999999999</v>
      </c>
      <c r="F160" s="25">
        <f t="shared" si="25"/>
        <v>684.7</v>
      </c>
      <c r="G160" s="25">
        <f t="shared" si="25"/>
        <v>11254</v>
      </c>
      <c r="H160" s="25">
        <f t="shared" si="25"/>
        <v>2843.7669999999994</v>
      </c>
      <c r="I160" s="25">
        <f t="shared" si="25"/>
        <v>13343.511999999999</v>
      </c>
      <c r="J160" s="25">
        <f t="shared" si="25"/>
        <v>14168</v>
      </c>
      <c r="K160" s="25">
        <f t="shared" si="25"/>
        <v>14267.88</v>
      </c>
      <c r="L160" s="25">
        <f t="shared" si="25"/>
        <v>13701.068000000001</v>
      </c>
      <c r="M160" s="25">
        <f t="shared" si="25"/>
        <v>14168</v>
      </c>
      <c r="N160" s="25">
        <f t="shared" si="25"/>
        <v>14168</v>
      </c>
      <c r="O160" s="211"/>
      <c r="Q160" s="211"/>
      <c r="R160" s="211"/>
      <c r="S160" s="211"/>
      <c r="T160" s="211"/>
      <c r="U160" s="211"/>
      <c r="V160" s="211"/>
      <c r="W160" s="211"/>
      <c r="X160" s="211"/>
      <c r="Y160" s="211"/>
      <c r="Z160" s="211"/>
    </row>
    <row r="161" spans="1:26" s="237" customFormat="1" ht="66">
      <c r="A161" s="34" t="s">
        <v>21</v>
      </c>
      <c r="B161" s="58" t="s">
        <v>398</v>
      </c>
      <c r="C161" s="64" t="s">
        <v>417</v>
      </c>
      <c r="D161" s="35" t="s">
        <v>399</v>
      </c>
      <c r="E161" s="36">
        <v>6064.387999999999</v>
      </c>
      <c r="F161" s="36">
        <v>374</v>
      </c>
      <c r="G161" s="36">
        <v>5600</v>
      </c>
      <c r="H161" s="36">
        <f t="shared" ref="H161:H167" si="26">E161-F161-G161</f>
        <v>90.38799999999901</v>
      </c>
      <c r="I161" s="36">
        <v>5686.4329999999991</v>
      </c>
      <c r="J161" s="36">
        <f>1300+2000+2000</f>
        <v>5300</v>
      </c>
      <c r="K161" s="36">
        <v>6061.1169999999984</v>
      </c>
      <c r="L161" s="36">
        <v>5686</v>
      </c>
      <c r="M161" s="36">
        <f>J161</f>
        <v>5300</v>
      </c>
      <c r="N161" s="36">
        <f>M161</f>
        <v>5300</v>
      </c>
      <c r="O161" s="75"/>
      <c r="P161" s="237">
        <v>1</v>
      </c>
      <c r="Q161" s="73"/>
      <c r="R161" s="73"/>
      <c r="S161" s="73"/>
      <c r="T161" s="73"/>
      <c r="U161" s="73"/>
      <c r="V161" s="73"/>
      <c r="W161" s="73"/>
      <c r="X161" s="73">
        <f>2000+2500</f>
        <v>4500</v>
      </c>
      <c r="Y161" s="73"/>
      <c r="Z161" s="73"/>
    </row>
    <row r="162" spans="1:26" s="237" customFormat="1" ht="66">
      <c r="A162" s="34" t="s">
        <v>28</v>
      </c>
      <c r="B162" s="58" t="s">
        <v>400</v>
      </c>
      <c r="C162" s="46" t="s">
        <v>401</v>
      </c>
      <c r="D162" s="78" t="s">
        <v>402</v>
      </c>
      <c r="E162" s="36">
        <v>2268.0790000000002</v>
      </c>
      <c r="F162" s="36">
        <v>0</v>
      </c>
      <c r="G162" s="36">
        <f>800+800</f>
        <v>1600</v>
      </c>
      <c r="H162" s="36">
        <f t="shared" si="26"/>
        <v>668.07900000000018</v>
      </c>
      <c r="I162" s="36">
        <v>2182.0790000000002</v>
      </c>
      <c r="J162" s="36">
        <f>G162</f>
        <v>1600</v>
      </c>
      <c r="K162" s="36">
        <v>2265</v>
      </c>
      <c r="L162" s="36">
        <f>K162</f>
        <v>2265</v>
      </c>
      <c r="M162" s="36">
        <f>J162</f>
        <v>1600</v>
      </c>
      <c r="N162" s="36">
        <f>M162</f>
        <v>1600</v>
      </c>
      <c r="O162" s="75"/>
      <c r="P162" s="237">
        <v>1</v>
      </c>
      <c r="Q162" s="73"/>
      <c r="R162" s="73"/>
      <c r="S162" s="73"/>
      <c r="T162" s="73"/>
      <c r="U162" s="73"/>
      <c r="V162" s="73"/>
      <c r="W162" s="73"/>
      <c r="X162" s="73">
        <v>800</v>
      </c>
      <c r="Y162" s="73"/>
      <c r="Z162" s="73"/>
    </row>
    <row r="163" spans="1:26" s="237" customFormat="1" ht="66">
      <c r="A163" s="34" t="s">
        <v>24</v>
      </c>
      <c r="B163" s="58" t="s">
        <v>403</v>
      </c>
      <c r="C163" s="46" t="s">
        <v>404</v>
      </c>
      <c r="D163" s="78" t="s">
        <v>405</v>
      </c>
      <c r="E163" s="36">
        <v>2200</v>
      </c>
      <c r="F163" s="36">
        <v>57.7</v>
      </c>
      <c r="G163" s="36">
        <v>900</v>
      </c>
      <c r="H163" s="36">
        <f t="shared" si="26"/>
        <v>1242.3000000000002</v>
      </c>
      <c r="I163" s="36">
        <v>1884</v>
      </c>
      <c r="J163" s="36">
        <f>800+100</f>
        <v>900</v>
      </c>
      <c r="K163" s="36">
        <v>2088</v>
      </c>
      <c r="L163" s="36">
        <f>K163</f>
        <v>2088</v>
      </c>
      <c r="M163" s="36">
        <f>J163</f>
        <v>900</v>
      </c>
      <c r="N163" s="36">
        <f>M163</f>
        <v>900</v>
      </c>
      <c r="O163" s="75"/>
      <c r="P163" s="237">
        <v>1</v>
      </c>
      <c r="Q163" s="73"/>
      <c r="R163" s="73"/>
      <c r="S163" s="73"/>
      <c r="T163" s="73"/>
      <c r="U163" s="73"/>
      <c r="V163" s="73"/>
      <c r="W163" s="73"/>
      <c r="X163" s="73">
        <f>100+800</f>
        <v>900</v>
      </c>
      <c r="Y163" s="73"/>
      <c r="Z163" s="73"/>
    </row>
    <row r="164" spans="1:26" s="237" customFormat="1" ht="66">
      <c r="A164" s="34" t="s">
        <v>25</v>
      </c>
      <c r="B164" s="78" t="s">
        <v>406</v>
      </c>
      <c r="C164" s="46" t="s">
        <v>407</v>
      </c>
      <c r="D164" s="78" t="s">
        <v>408</v>
      </c>
      <c r="E164" s="79">
        <v>1193</v>
      </c>
      <c r="F164" s="36">
        <v>0</v>
      </c>
      <c r="G164" s="36">
        <f>E164</f>
        <v>1193</v>
      </c>
      <c r="H164" s="36">
        <f t="shared" si="26"/>
        <v>0</v>
      </c>
      <c r="I164" s="79">
        <v>1098</v>
      </c>
      <c r="J164" s="36">
        <f>I164</f>
        <v>1098</v>
      </c>
      <c r="K164" s="36">
        <v>1108</v>
      </c>
      <c r="L164" s="36">
        <f>K164</f>
        <v>1108</v>
      </c>
      <c r="M164" s="36">
        <f>J164</f>
        <v>1098</v>
      </c>
      <c r="N164" s="36">
        <f>M164</f>
        <v>1098</v>
      </c>
      <c r="O164" s="75"/>
      <c r="P164" s="237">
        <v>1</v>
      </c>
      <c r="Q164" s="73"/>
      <c r="R164" s="73"/>
      <c r="S164" s="73"/>
      <c r="T164" s="73"/>
      <c r="U164" s="73"/>
      <c r="V164" s="73"/>
      <c r="W164" s="73"/>
      <c r="X164" s="73">
        <v>750</v>
      </c>
      <c r="Y164" s="73"/>
      <c r="Z164" s="73"/>
    </row>
    <row r="165" spans="1:26" s="237" customFormat="1" ht="66" hidden="1">
      <c r="A165" s="34" t="s">
        <v>26</v>
      </c>
      <c r="B165" s="58" t="s">
        <v>409</v>
      </c>
      <c r="C165" s="80">
        <v>42896</v>
      </c>
      <c r="D165" s="78" t="s">
        <v>410</v>
      </c>
      <c r="E165" s="33">
        <v>820</v>
      </c>
      <c r="F165" s="33">
        <f>110+101</f>
        <v>211</v>
      </c>
      <c r="G165" s="33">
        <v>500</v>
      </c>
      <c r="H165" s="36">
        <f t="shared" si="26"/>
        <v>109</v>
      </c>
      <c r="I165" s="33">
        <v>766</v>
      </c>
      <c r="J165" s="33">
        <f>G165</f>
        <v>500</v>
      </c>
      <c r="K165" s="33">
        <v>798.96800000000007</v>
      </c>
      <c r="L165" s="33">
        <f>K165</f>
        <v>798.96800000000007</v>
      </c>
      <c r="M165" s="33">
        <v>500</v>
      </c>
      <c r="N165" s="33">
        <f>M165</f>
        <v>500</v>
      </c>
      <c r="O165" s="75"/>
      <c r="Q165" s="73"/>
      <c r="R165" s="73"/>
      <c r="S165" s="73"/>
      <c r="T165" s="73"/>
      <c r="U165" s="73"/>
      <c r="V165" s="73"/>
      <c r="W165" s="73"/>
      <c r="X165" s="73"/>
      <c r="Y165" s="73"/>
      <c r="Z165" s="73"/>
    </row>
    <row r="166" spans="1:26" s="237" customFormat="1" ht="66" hidden="1">
      <c r="A166" s="34" t="s">
        <v>27</v>
      </c>
      <c r="B166" s="58" t="s">
        <v>411</v>
      </c>
      <c r="C166" s="46">
        <v>2017</v>
      </c>
      <c r="D166" s="78" t="s">
        <v>412</v>
      </c>
      <c r="E166" s="79">
        <v>1203</v>
      </c>
      <c r="F166" s="33">
        <v>42</v>
      </c>
      <c r="G166" s="33">
        <v>1161</v>
      </c>
      <c r="H166" s="36">
        <f t="shared" si="26"/>
        <v>0</v>
      </c>
      <c r="I166" s="33">
        <v>1027</v>
      </c>
      <c r="J166" s="33">
        <v>1000</v>
      </c>
      <c r="K166" s="33">
        <v>1055</v>
      </c>
      <c r="L166" s="33">
        <f>K166</f>
        <v>1055</v>
      </c>
      <c r="M166" s="33">
        <v>1000</v>
      </c>
      <c r="N166" s="33">
        <v>1000</v>
      </c>
      <c r="O166" s="75"/>
      <c r="Q166" s="73"/>
      <c r="R166" s="73"/>
      <c r="S166" s="73"/>
      <c r="T166" s="73"/>
      <c r="U166" s="73"/>
      <c r="V166" s="73"/>
      <c r="W166" s="73"/>
      <c r="X166" s="73">
        <v>500</v>
      </c>
      <c r="Y166" s="73"/>
      <c r="Z166" s="73"/>
    </row>
    <row r="167" spans="1:26" s="237" customFormat="1" ht="66" hidden="1">
      <c r="A167" s="34" t="s">
        <v>47</v>
      </c>
      <c r="B167" s="58" t="s">
        <v>413</v>
      </c>
      <c r="C167" s="46" t="s">
        <v>414</v>
      </c>
      <c r="D167" s="78" t="s">
        <v>415</v>
      </c>
      <c r="E167" s="33">
        <v>1034</v>
      </c>
      <c r="F167" s="33">
        <v>0</v>
      </c>
      <c r="G167" s="33">
        <v>300</v>
      </c>
      <c r="H167" s="36">
        <f t="shared" si="26"/>
        <v>734</v>
      </c>
      <c r="I167" s="33">
        <v>700</v>
      </c>
      <c r="J167" s="33">
        <v>300</v>
      </c>
      <c r="K167" s="33">
        <v>891.79499999999996</v>
      </c>
      <c r="L167" s="33">
        <v>700.1</v>
      </c>
      <c r="M167" s="33">
        <f>J167</f>
        <v>300</v>
      </c>
      <c r="N167" s="33">
        <f>M167</f>
        <v>300</v>
      </c>
      <c r="O167" s="75"/>
      <c r="Q167" s="73"/>
      <c r="R167" s="73"/>
      <c r="S167" s="73"/>
      <c r="T167" s="73"/>
      <c r="U167" s="73"/>
      <c r="V167" s="73"/>
      <c r="W167" s="73"/>
      <c r="X167" s="73">
        <v>300</v>
      </c>
      <c r="Y167" s="73"/>
      <c r="Z167" s="73"/>
    </row>
    <row r="168" spans="1:26" s="237" customFormat="1" ht="33" hidden="1">
      <c r="A168" s="34" t="s">
        <v>49</v>
      </c>
      <c r="B168" s="58" t="s">
        <v>763</v>
      </c>
      <c r="C168" s="46"/>
      <c r="D168" s="78"/>
      <c r="E168" s="33"/>
      <c r="F168" s="33"/>
      <c r="G168" s="33"/>
      <c r="H168" s="36"/>
      <c r="I168" s="33"/>
      <c r="J168" s="33">
        <v>150</v>
      </c>
      <c r="K168" s="33"/>
      <c r="L168" s="33"/>
      <c r="M168" s="33">
        <v>150</v>
      </c>
      <c r="N168" s="33">
        <v>150</v>
      </c>
      <c r="O168" s="75"/>
      <c r="Q168" s="73"/>
      <c r="R168" s="73"/>
      <c r="S168" s="73"/>
      <c r="T168" s="73"/>
      <c r="U168" s="73"/>
      <c r="V168" s="73"/>
      <c r="W168" s="73"/>
      <c r="X168" s="73">
        <v>150</v>
      </c>
      <c r="Y168" s="73"/>
      <c r="Z168" s="73"/>
    </row>
    <row r="169" spans="1:26" s="237" customFormat="1" ht="33" hidden="1">
      <c r="A169" s="34" t="s">
        <v>50</v>
      </c>
      <c r="B169" s="58" t="s">
        <v>764</v>
      </c>
      <c r="C169" s="46"/>
      <c r="D169" s="78"/>
      <c r="E169" s="33"/>
      <c r="F169" s="33"/>
      <c r="G169" s="33"/>
      <c r="H169" s="36"/>
      <c r="I169" s="33"/>
      <c r="J169" s="33">
        <v>800</v>
      </c>
      <c r="K169" s="33"/>
      <c r="L169" s="33"/>
      <c r="M169" s="33">
        <v>800</v>
      </c>
      <c r="N169" s="33">
        <v>800</v>
      </c>
      <c r="O169" s="75"/>
      <c r="Q169" s="73"/>
      <c r="R169" s="73"/>
      <c r="S169" s="73"/>
      <c r="T169" s="73"/>
      <c r="U169" s="73"/>
      <c r="V169" s="73"/>
      <c r="W169" s="73"/>
      <c r="X169" s="73">
        <v>800</v>
      </c>
      <c r="Y169" s="73"/>
      <c r="Z169" s="73"/>
    </row>
    <row r="170" spans="1:26" s="237" customFormat="1" ht="33" hidden="1">
      <c r="A170" s="34" t="s">
        <v>51</v>
      </c>
      <c r="B170" s="58" t="s">
        <v>765</v>
      </c>
      <c r="C170" s="46"/>
      <c r="D170" s="78"/>
      <c r="E170" s="33"/>
      <c r="F170" s="33"/>
      <c r="G170" s="33"/>
      <c r="H170" s="36"/>
      <c r="I170" s="33"/>
      <c r="J170" s="33">
        <v>300</v>
      </c>
      <c r="K170" s="33"/>
      <c r="L170" s="33"/>
      <c r="M170" s="33">
        <v>300</v>
      </c>
      <c r="N170" s="33">
        <v>300</v>
      </c>
      <c r="O170" s="75"/>
      <c r="Q170" s="73"/>
      <c r="R170" s="73"/>
      <c r="S170" s="73"/>
      <c r="T170" s="73"/>
      <c r="U170" s="73"/>
      <c r="V170" s="73"/>
      <c r="W170" s="73"/>
      <c r="X170" s="73">
        <v>300</v>
      </c>
      <c r="Y170" s="73"/>
      <c r="Z170" s="73"/>
    </row>
    <row r="171" spans="1:26" s="237" customFormat="1" ht="49.5" hidden="1">
      <c r="A171" s="34" t="s">
        <v>53</v>
      </c>
      <c r="B171" s="58" t="s">
        <v>766</v>
      </c>
      <c r="C171" s="46"/>
      <c r="D171" s="78"/>
      <c r="E171" s="33"/>
      <c r="F171" s="33"/>
      <c r="G171" s="33"/>
      <c r="H171" s="36"/>
      <c r="I171" s="33"/>
      <c r="J171" s="33">
        <v>200</v>
      </c>
      <c r="K171" s="33"/>
      <c r="L171" s="33"/>
      <c r="M171" s="33">
        <v>200</v>
      </c>
      <c r="N171" s="33">
        <v>200</v>
      </c>
      <c r="O171" s="75"/>
      <c r="Q171" s="73"/>
      <c r="R171" s="73"/>
      <c r="S171" s="73"/>
      <c r="T171" s="73"/>
      <c r="U171" s="73"/>
      <c r="V171" s="73"/>
      <c r="W171" s="73"/>
      <c r="X171" s="73">
        <v>200</v>
      </c>
      <c r="Y171" s="73"/>
      <c r="Z171" s="73"/>
    </row>
    <row r="172" spans="1:26" s="237" customFormat="1" ht="33" hidden="1">
      <c r="A172" s="34" t="s">
        <v>55</v>
      </c>
      <c r="B172" s="58" t="s">
        <v>768</v>
      </c>
      <c r="C172" s="46"/>
      <c r="D172" s="78"/>
      <c r="E172" s="33"/>
      <c r="F172" s="33"/>
      <c r="G172" s="33"/>
      <c r="H172" s="36"/>
      <c r="I172" s="33"/>
      <c r="J172" s="33">
        <v>400</v>
      </c>
      <c r="K172" s="33"/>
      <c r="L172" s="33"/>
      <c r="M172" s="33">
        <v>400</v>
      </c>
      <c r="N172" s="33">
        <v>400</v>
      </c>
      <c r="O172" s="75"/>
      <c r="Q172" s="73"/>
      <c r="R172" s="73"/>
      <c r="S172" s="73"/>
      <c r="T172" s="73"/>
      <c r="U172" s="73"/>
      <c r="V172" s="73"/>
      <c r="W172" s="73"/>
      <c r="X172" s="73">
        <v>150</v>
      </c>
      <c r="Y172" s="73"/>
      <c r="Z172" s="73"/>
    </row>
    <row r="173" spans="1:26" s="237" customFormat="1" ht="33" hidden="1">
      <c r="A173" s="34" t="s">
        <v>56</v>
      </c>
      <c r="B173" s="58" t="s">
        <v>769</v>
      </c>
      <c r="C173" s="46"/>
      <c r="D173" s="78"/>
      <c r="E173" s="33"/>
      <c r="F173" s="33"/>
      <c r="G173" s="33"/>
      <c r="H173" s="36"/>
      <c r="I173" s="33"/>
      <c r="J173" s="33">
        <v>400</v>
      </c>
      <c r="K173" s="33"/>
      <c r="L173" s="33"/>
      <c r="M173" s="33">
        <v>400</v>
      </c>
      <c r="N173" s="33">
        <v>400</v>
      </c>
      <c r="O173" s="75"/>
      <c r="Q173" s="73"/>
      <c r="R173" s="73"/>
      <c r="S173" s="73"/>
      <c r="T173" s="73"/>
      <c r="U173" s="73"/>
      <c r="V173" s="73"/>
      <c r="W173" s="73"/>
      <c r="X173" s="73"/>
      <c r="Y173" s="73"/>
      <c r="Z173" s="73"/>
    </row>
    <row r="174" spans="1:26" s="237" customFormat="1" ht="16.5">
      <c r="A174" s="34" t="s">
        <v>57</v>
      </c>
      <c r="B174" s="58" t="s">
        <v>770</v>
      </c>
      <c r="C174" s="46"/>
      <c r="D174" s="78"/>
      <c r="E174" s="33"/>
      <c r="F174" s="33"/>
      <c r="G174" s="33"/>
      <c r="H174" s="36"/>
      <c r="I174" s="33"/>
      <c r="J174" s="33">
        <v>300</v>
      </c>
      <c r="K174" s="33"/>
      <c r="L174" s="33"/>
      <c r="M174" s="33">
        <v>300</v>
      </c>
      <c r="N174" s="33">
        <v>300</v>
      </c>
      <c r="O174" s="75"/>
      <c r="P174" s="237">
        <v>1</v>
      </c>
      <c r="Q174" s="73"/>
      <c r="R174" s="73"/>
      <c r="S174" s="73"/>
      <c r="T174" s="73"/>
      <c r="U174" s="73"/>
      <c r="V174" s="73"/>
      <c r="W174" s="73"/>
      <c r="X174" s="73"/>
      <c r="Y174" s="73"/>
      <c r="Z174" s="73"/>
    </row>
    <row r="175" spans="1:26" s="237" customFormat="1" ht="33" hidden="1">
      <c r="A175" s="34" t="s">
        <v>58</v>
      </c>
      <c r="B175" s="58" t="s">
        <v>771</v>
      </c>
      <c r="C175" s="46"/>
      <c r="D175" s="78"/>
      <c r="E175" s="33"/>
      <c r="F175" s="33"/>
      <c r="G175" s="33"/>
      <c r="H175" s="36"/>
      <c r="I175" s="33"/>
      <c r="J175" s="33">
        <v>100</v>
      </c>
      <c r="K175" s="33"/>
      <c r="L175" s="33"/>
      <c r="M175" s="33">
        <v>100</v>
      </c>
      <c r="N175" s="33">
        <v>100</v>
      </c>
      <c r="O175" s="75"/>
      <c r="Q175" s="73"/>
      <c r="R175" s="73"/>
      <c r="S175" s="73"/>
      <c r="T175" s="73"/>
      <c r="U175" s="73"/>
      <c r="V175" s="73"/>
      <c r="W175" s="73"/>
      <c r="X175" s="73"/>
      <c r="Y175" s="73"/>
      <c r="Z175" s="73"/>
    </row>
    <row r="176" spans="1:26" s="237" customFormat="1" ht="33">
      <c r="A176" s="34" t="s">
        <v>59</v>
      </c>
      <c r="B176" s="58" t="s">
        <v>772</v>
      </c>
      <c r="C176" s="46"/>
      <c r="D176" s="78"/>
      <c r="E176" s="33"/>
      <c r="F176" s="33"/>
      <c r="G176" s="33"/>
      <c r="H176" s="36"/>
      <c r="I176" s="33"/>
      <c r="J176" s="33">
        <v>100</v>
      </c>
      <c r="K176" s="33"/>
      <c r="L176" s="33"/>
      <c r="M176" s="33">
        <v>100</v>
      </c>
      <c r="N176" s="33">
        <v>100</v>
      </c>
      <c r="O176" s="75"/>
      <c r="P176" s="237">
        <v>1</v>
      </c>
      <c r="Q176" s="73"/>
      <c r="R176" s="73"/>
      <c r="S176" s="73"/>
      <c r="T176" s="73"/>
      <c r="U176" s="73"/>
      <c r="V176" s="73"/>
      <c r="W176" s="73"/>
      <c r="X176" s="73"/>
      <c r="Y176" s="73"/>
      <c r="Z176" s="73"/>
    </row>
    <row r="177" spans="1:26" s="237" customFormat="1" ht="49.5" hidden="1">
      <c r="A177" s="34" t="s">
        <v>60</v>
      </c>
      <c r="B177" s="58" t="s">
        <v>773</v>
      </c>
      <c r="C177" s="46"/>
      <c r="D177" s="78"/>
      <c r="E177" s="33"/>
      <c r="F177" s="33"/>
      <c r="G177" s="33"/>
      <c r="H177" s="36"/>
      <c r="I177" s="33"/>
      <c r="J177" s="33">
        <v>200</v>
      </c>
      <c r="K177" s="33"/>
      <c r="L177" s="33"/>
      <c r="M177" s="33">
        <v>200</v>
      </c>
      <c r="N177" s="33">
        <v>200</v>
      </c>
      <c r="O177" s="75"/>
      <c r="Q177" s="73"/>
      <c r="R177" s="73"/>
      <c r="S177" s="73"/>
      <c r="T177" s="73"/>
      <c r="U177" s="73"/>
      <c r="V177" s="73"/>
      <c r="W177" s="73"/>
      <c r="X177" s="73"/>
      <c r="Y177" s="73"/>
      <c r="Z177" s="73"/>
    </row>
    <row r="178" spans="1:26" s="237" customFormat="1" ht="16.5" hidden="1">
      <c r="A178" s="34" t="s">
        <v>61</v>
      </c>
      <c r="B178" s="58" t="s">
        <v>719</v>
      </c>
      <c r="C178" s="46"/>
      <c r="D178" s="78"/>
      <c r="E178" s="33"/>
      <c r="F178" s="33"/>
      <c r="G178" s="33"/>
      <c r="H178" s="36"/>
      <c r="I178" s="33"/>
      <c r="J178" s="33">
        <v>270</v>
      </c>
      <c r="K178" s="33"/>
      <c r="L178" s="33"/>
      <c r="M178" s="33">
        <v>270</v>
      </c>
      <c r="N178" s="33">
        <v>270</v>
      </c>
      <c r="O178" s="75"/>
      <c r="Q178" s="73"/>
      <c r="R178" s="73"/>
      <c r="S178" s="73"/>
      <c r="T178" s="73"/>
      <c r="U178" s="73"/>
      <c r="V178" s="73"/>
      <c r="W178" s="73"/>
      <c r="X178" s="73"/>
      <c r="Y178" s="73"/>
      <c r="Z178" s="73"/>
    </row>
    <row r="179" spans="1:26" s="237" customFormat="1" ht="16.5" hidden="1">
      <c r="A179" s="34" t="s">
        <v>62</v>
      </c>
      <c r="B179" s="58" t="s">
        <v>720</v>
      </c>
      <c r="C179" s="46"/>
      <c r="D179" s="78"/>
      <c r="E179" s="33"/>
      <c r="F179" s="33"/>
      <c r="G179" s="33"/>
      <c r="H179" s="36"/>
      <c r="I179" s="33"/>
      <c r="J179" s="33">
        <v>250</v>
      </c>
      <c r="K179" s="33"/>
      <c r="L179" s="33"/>
      <c r="M179" s="33">
        <v>250</v>
      </c>
      <c r="N179" s="33">
        <v>250</v>
      </c>
      <c r="O179" s="75"/>
      <c r="Q179" s="73"/>
      <c r="R179" s="73"/>
      <c r="S179" s="73"/>
      <c r="T179" s="73"/>
      <c r="U179" s="73"/>
      <c r="V179" s="73"/>
      <c r="W179" s="73"/>
      <c r="X179" s="73"/>
      <c r="Y179" s="73"/>
      <c r="Z179" s="73"/>
    </row>
    <row r="180" spans="1:26" s="210" customFormat="1" ht="16.5" hidden="1">
      <c r="A180" s="246" t="s">
        <v>613</v>
      </c>
      <c r="B180" s="81" t="s">
        <v>430</v>
      </c>
      <c r="C180" s="247"/>
      <c r="D180" s="247"/>
      <c r="E180" s="37">
        <f>+E181+E182+E183</f>
        <v>20599.455000000002</v>
      </c>
      <c r="F180" s="37">
        <f t="shared" ref="F180:N180" si="27">+F181+F182+F183</f>
        <v>1065</v>
      </c>
      <c r="G180" s="37">
        <f t="shared" si="27"/>
        <v>3200</v>
      </c>
      <c r="H180" s="37">
        <f t="shared" si="27"/>
        <v>16334</v>
      </c>
      <c r="I180" s="37">
        <f t="shared" si="27"/>
        <v>15794</v>
      </c>
      <c r="J180" s="37">
        <f t="shared" si="27"/>
        <v>6720</v>
      </c>
      <c r="K180" s="37">
        <f t="shared" si="27"/>
        <v>19410</v>
      </c>
      <c r="L180" s="37">
        <f t="shared" si="27"/>
        <v>15199</v>
      </c>
      <c r="M180" s="37">
        <f t="shared" si="27"/>
        <v>6925</v>
      </c>
      <c r="N180" s="37">
        <f t="shared" si="27"/>
        <v>6720</v>
      </c>
      <c r="O180" s="211"/>
      <c r="Q180" s="211"/>
      <c r="R180" s="211"/>
      <c r="S180" s="211"/>
      <c r="T180" s="211"/>
      <c r="U180" s="211"/>
      <c r="V180" s="211"/>
      <c r="W180" s="211"/>
      <c r="X180" s="211"/>
      <c r="Y180" s="211"/>
      <c r="Z180" s="211"/>
    </row>
    <row r="181" spans="1:26" s="210" customFormat="1" ht="49.5" hidden="1">
      <c r="A181" s="246"/>
      <c r="B181" s="73" t="s">
        <v>379</v>
      </c>
      <c r="C181" s="247"/>
      <c r="D181" s="247"/>
      <c r="E181" s="37"/>
      <c r="F181" s="37"/>
      <c r="G181" s="37"/>
      <c r="H181" s="37"/>
      <c r="I181" s="37"/>
      <c r="J181" s="37"/>
      <c r="K181" s="37"/>
      <c r="L181" s="37"/>
      <c r="M181" s="37"/>
      <c r="N181" s="37"/>
      <c r="O181" s="211"/>
      <c r="Q181" s="236"/>
      <c r="R181" s="211"/>
      <c r="S181" s="211"/>
      <c r="T181" s="211"/>
      <c r="U181" s="211"/>
      <c r="V181" s="211"/>
      <c r="W181" s="211"/>
      <c r="X181" s="211"/>
      <c r="Y181" s="211"/>
      <c r="Z181" s="211"/>
    </row>
    <row r="182" spans="1:26" s="210" customFormat="1" ht="33" hidden="1">
      <c r="A182" s="246"/>
      <c r="B182" s="22" t="s">
        <v>141</v>
      </c>
      <c r="C182" s="23"/>
      <c r="D182" s="24"/>
      <c r="E182" s="25"/>
      <c r="F182" s="25"/>
      <c r="G182" s="25"/>
      <c r="H182" s="25"/>
      <c r="I182" s="25"/>
      <c r="J182" s="25"/>
      <c r="K182" s="25"/>
      <c r="L182" s="25"/>
      <c r="M182" s="25"/>
      <c r="N182" s="25"/>
      <c r="O182" s="211"/>
      <c r="Q182" s="211"/>
      <c r="R182" s="211"/>
      <c r="S182" s="211"/>
      <c r="T182" s="211"/>
      <c r="U182" s="211"/>
      <c r="V182" s="211"/>
      <c r="W182" s="211"/>
      <c r="X182" s="211"/>
      <c r="Y182" s="211"/>
      <c r="Z182" s="211"/>
    </row>
    <row r="183" spans="1:26" s="210" customFormat="1" ht="33" hidden="1">
      <c r="A183" s="246"/>
      <c r="B183" s="22" t="s">
        <v>335</v>
      </c>
      <c r="C183" s="23"/>
      <c r="D183" s="24"/>
      <c r="E183" s="25">
        <f>SUM(E184:E189)</f>
        <v>20599.455000000002</v>
      </c>
      <c r="F183" s="25">
        <f t="shared" ref="F183:N183" si="28">SUM(F184:F189)</f>
        <v>1065</v>
      </c>
      <c r="G183" s="25">
        <f t="shared" si="28"/>
        <v>3200</v>
      </c>
      <c r="H183" s="25">
        <f t="shared" si="28"/>
        <v>16334</v>
      </c>
      <c r="I183" s="25">
        <f t="shared" si="28"/>
        <v>15794</v>
      </c>
      <c r="J183" s="25">
        <f t="shared" si="28"/>
        <v>6720</v>
      </c>
      <c r="K183" s="25">
        <f t="shared" si="28"/>
        <v>19410</v>
      </c>
      <c r="L183" s="25">
        <f t="shared" si="28"/>
        <v>15199</v>
      </c>
      <c r="M183" s="25">
        <f t="shared" si="28"/>
        <v>6925</v>
      </c>
      <c r="N183" s="25">
        <f t="shared" si="28"/>
        <v>6720</v>
      </c>
      <c r="O183" s="211"/>
      <c r="Q183" s="211"/>
      <c r="R183" s="211"/>
      <c r="S183" s="211"/>
      <c r="T183" s="211"/>
      <c r="U183" s="211"/>
      <c r="V183" s="211"/>
      <c r="W183" s="211"/>
      <c r="X183" s="211"/>
      <c r="Y183" s="211"/>
      <c r="Z183" s="211"/>
    </row>
    <row r="184" spans="1:26" s="210" customFormat="1" ht="49.5">
      <c r="A184" s="34" t="s">
        <v>21</v>
      </c>
      <c r="B184" s="58" t="s">
        <v>418</v>
      </c>
      <c r="C184" s="38" t="s">
        <v>127</v>
      </c>
      <c r="D184" s="39" t="s">
        <v>419</v>
      </c>
      <c r="E184" s="40">
        <v>5297.9449999999997</v>
      </c>
      <c r="F184" s="54"/>
      <c r="G184" s="54">
        <v>3200</v>
      </c>
      <c r="H184" s="54">
        <v>2098</v>
      </c>
      <c r="I184" s="54">
        <v>3200</v>
      </c>
      <c r="J184" s="54">
        <v>3200</v>
      </c>
      <c r="K184" s="54">
        <v>5298</v>
      </c>
      <c r="L184" s="54">
        <v>5298</v>
      </c>
      <c r="M184" s="40">
        <v>3200</v>
      </c>
      <c r="N184" s="40">
        <v>3200</v>
      </c>
      <c r="O184" s="54"/>
      <c r="P184" s="210">
        <v>1</v>
      </c>
      <c r="Q184" s="211"/>
      <c r="R184" s="211"/>
      <c r="S184" s="211"/>
      <c r="T184" s="267"/>
      <c r="U184" s="267"/>
      <c r="V184" s="211"/>
      <c r="W184" s="211"/>
      <c r="X184" s="211">
        <v>1400</v>
      </c>
      <c r="Y184" s="211"/>
      <c r="Z184" s="211"/>
    </row>
    <row r="185" spans="1:26" s="210" customFormat="1" ht="66" hidden="1">
      <c r="A185" s="34" t="s">
        <v>28</v>
      </c>
      <c r="B185" s="58" t="s">
        <v>420</v>
      </c>
      <c r="C185" s="38" t="s">
        <v>127</v>
      </c>
      <c r="D185" s="39" t="s">
        <v>421</v>
      </c>
      <c r="E185" s="40">
        <v>1207.3810000000001</v>
      </c>
      <c r="F185" s="54">
        <v>604</v>
      </c>
      <c r="G185" s="54"/>
      <c r="H185" s="54">
        <v>603</v>
      </c>
      <c r="I185" s="54">
        <v>505</v>
      </c>
      <c r="J185" s="54">
        <v>300</v>
      </c>
      <c r="K185" s="54">
        <v>907</v>
      </c>
      <c r="L185" s="54">
        <v>907</v>
      </c>
      <c r="M185" s="40">
        <v>505</v>
      </c>
      <c r="N185" s="40">
        <v>300</v>
      </c>
      <c r="O185" s="54"/>
      <c r="Q185" s="211"/>
      <c r="R185" s="211"/>
      <c r="S185" s="211"/>
      <c r="T185" s="267"/>
      <c r="U185" s="267"/>
      <c r="V185" s="211"/>
      <c r="W185" s="211"/>
      <c r="X185" s="211">
        <v>300</v>
      </c>
      <c r="Y185" s="211"/>
      <c r="Z185" s="211"/>
    </row>
    <row r="186" spans="1:26" s="210" customFormat="1" ht="66">
      <c r="A186" s="34" t="s">
        <v>24</v>
      </c>
      <c r="B186" s="58" t="s">
        <v>422</v>
      </c>
      <c r="C186" s="38" t="s">
        <v>423</v>
      </c>
      <c r="D186" s="39" t="s">
        <v>424</v>
      </c>
      <c r="E186" s="40">
        <v>6288.1290000000008</v>
      </c>
      <c r="F186" s="54">
        <v>461</v>
      </c>
      <c r="G186" s="54"/>
      <c r="H186" s="54">
        <v>5827</v>
      </c>
      <c r="I186" s="54">
        <v>5294</v>
      </c>
      <c r="J186" s="54">
        <v>1370</v>
      </c>
      <c r="K186" s="54">
        <v>5934</v>
      </c>
      <c r="L186" s="54">
        <v>5294</v>
      </c>
      <c r="M186" s="40">
        <v>1370</v>
      </c>
      <c r="N186" s="40">
        <v>1370</v>
      </c>
      <c r="O186" s="54"/>
      <c r="P186" s="210">
        <v>1</v>
      </c>
      <c r="Q186" s="211"/>
      <c r="R186" s="211"/>
      <c r="S186" s="211"/>
      <c r="T186" s="267"/>
      <c r="U186" s="267"/>
      <c r="V186" s="211"/>
      <c r="W186" s="211"/>
      <c r="X186" s="211">
        <f>1000+370</f>
        <v>1370</v>
      </c>
      <c r="Y186" s="211"/>
      <c r="Z186" s="211"/>
    </row>
    <row r="187" spans="1:26" s="210" customFormat="1" ht="49.5">
      <c r="A187" s="34" t="s">
        <v>25</v>
      </c>
      <c r="B187" s="58" t="s">
        <v>810</v>
      </c>
      <c r="C187" s="38">
        <v>2016</v>
      </c>
      <c r="D187" s="39" t="s">
        <v>425</v>
      </c>
      <c r="E187" s="40">
        <v>2139</v>
      </c>
      <c r="F187" s="54"/>
      <c r="G187" s="54"/>
      <c r="H187" s="54">
        <v>2139</v>
      </c>
      <c r="I187" s="54">
        <v>1700</v>
      </c>
      <c r="J187" s="54">
        <v>520</v>
      </c>
      <c r="K187" s="54">
        <v>1950</v>
      </c>
      <c r="L187" s="54">
        <f>M187+N187</f>
        <v>1040</v>
      </c>
      <c r="M187" s="40">
        <v>520</v>
      </c>
      <c r="N187" s="40">
        <v>520</v>
      </c>
      <c r="O187" s="54"/>
      <c r="P187" s="210">
        <v>1</v>
      </c>
      <c r="Q187" s="211"/>
      <c r="R187" s="211"/>
      <c r="S187" s="211"/>
      <c r="T187" s="267"/>
      <c r="U187" s="267"/>
      <c r="V187" s="211"/>
      <c r="W187" s="211"/>
      <c r="X187" s="211">
        <f>120+400</f>
        <v>520</v>
      </c>
      <c r="Y187" s="211"/>
      <c r="Z187" s="211"/>
    </row>
    <row r="188" spans="1:26" s="210" customFormat="1" ht="49.5" hidden="1">
      <c r="A188" s="34" t="s">
        <v>26</v>
      </c>
      <c r="B188" s="58" t="s">
        <v>426</v>
      </c>
      <c r="C188" s="38">
        <v>2017</v>
      </c>
      <c r="D188" s="39" t="s">
        <v>427</v>
      </c>
      <c r="E188" s="40">
        <v>4450</v>
      </c>
      <c r="F188" s="54"/>
      <c r="G188" s="54"/>
      <c r="H188" s="54">
        <v>4450</v>
      </c>
      <c r="I188" s="54">
        <v>4145</v>
      </c>
      <c r="J188" s="54">
        <v>800</v>
      </c>
      <c r="K188" s="54">
        <v>4235</v>
      </c>
      <c r="L188" s="54">
        <f>M188+N188</f>
        <v>1600</v>
      </c>
      <c r="M188" s="40">
        <v>800</v>
      </c>
      <c r="N188" s="40">
        <v>800</v>
      </c>
      <c r="O188" s="54"/>
      <c r="Q188" s="211"/>
      <c r="R188" s="211"/>
      <c r="S188" s="211"/>
      <c r="T188" s="267"/>
      <c r="U188" s="267"/>
      <c r="V188" s="211"/>
      <c r="W188" s="211"/>
      <c r="X188" s="211">
        <v>800</v>
      </c>
      <c r="Y188" s="211"/>
      <c r="Z188" s="211"/>
    </row>
    <row r="189" spans="1:26" s="210" customFormat="1" ht="49.5">
      <c r="A189" s="34" t="s">
        <v>27</v>
      </c>
      <c r="B189" s="58" t="s">
        <v>428</v>
      </c>
      <c r="C189" s="38">
        <v>2017</v>
      </c>
      <c r="D189" s="39" t="s">
        <v>429</v>
      </c>
      <c r="E189" s="40">
        <v>1217</v>
      </c>
      <c r="F189" s="54"/>
      <c r="G189" s="54"/>
      <c r="H189" s="54">
        <v>1217</v>
      </c>
      <c r="I189" s="54">
        <v>950</v>
      </c>
      <c r="J189" s="54">
        <v>530</v>
      </c>
      <c r="K189" s="54">
        <v>1086</v>
      </c>
      <c r="L189" s="54">
        <f>M189+N189</f>
        <v>1060</v>
      </c>
      <c r="M189" s="40">
        <v>530</v>
      </c>
      <c r="N189" s="40">
        <v>530</v>
      </c>
      <c r="O189" s="54"/>
      <c r="P189" s="210">
        <v>1</v>
      </c>
      <c r="Q189" s="211"/>
      <c r="R189" s="211"/>
      <c r="S189" s="211"/>
      <c r="T189" s="267"/>
      <c r="U189" s="267"/>
      <c r="V189" s="211"/>
      <c r="W189" s="211"/>
      <c r="X189" s="211">
        <v>450</v>
      </c>
      <c r="Y189" s="211"/>
      <c r="Z189" s="211"/>
    </row>
    <row r="190" spans="1:26" s="210" customFormat="1" ht="16.5" hidden="1">
      <c r="A190" s="246" t="s">
        <v>614</v>
      </c>
      <c r="B190" s="81" t="s">
        <v>435</v>
      </c>
      <c r="C190" s="247"/>
      <c r="D190" s="172"/>
      <c r="E190" s="173">
        <f>+E191+E192+E193</f>
        <v>1115</v>
      </c>
      <c r="F190" s="173">
        <f t="shared" ref="F190:N190" si="29">+F191+F192+F193</f>
        <v>0</v>
      </c>
      <c r="G190" s="173">
        <f t="shared" si="29"/>
        <v>900</v>
      </c>
      <c r="H190" s="173">
        <f t="shared" si="29"/>
        <v>215</v>
      </c>
      <c r="I190" s="173">
        <f t="shared" si="29"/>
        <v>1115</v>
      </c>
      <c r="J190" s="173">
        <f t="shared" si="29"/>
        <v>900</v>
      </c>
      <c r="K190" s="173">
        <f t="shared" si="29"/>
        <v>1113.49</v>
      </c>
      <c r="L190" s="173">
        <f t="shared" si="29"/>
        <v>900</v>
      </c>
      <c r="M190" s="173">
        <f t="shared" si="29"/>
        <v>900</v>
      </c>
      <c r="N190" s="173">
        <f t="shared" si="29"/>
        <v>900</v>
      </c>
      <c r="O190" s="211"/>
      <c r="Q190" s="211"/>
      <c r="R190" s="211"/>
      <c r="S190" s="211"/>
      <c r="T190" s="211"/>
      <c r="U190" s="211"/>
      <c r="V190" s="211"/>
      <c r="W190" s="211"/>
      <c r="X190" s="211"/>
      <c r="Y190" s="211"/>
      <c r="Z190" s="211"/>
    </row>
    <row r="191" spans="1:26" s="210" customFormat="1" ht="49.5" hidden="1">
      <c r="A191" s="246"/>
      <c r="B191" s="73" t="s">
        <v>379</v>
      </c>
      <c r="C191" s="247"/>
      <c r="D191" s="247"/>
      <c r="E191" s="37"/>
      <c r="F191" s="37"/>
      <c r="G191" s="37"/>
      <c r="H191" s="37"/>
      <c r="I191" s="37"/>
      <c r="J191" s="37"/>
      <c r="K191" s="37"/>
      <c r="L191" s="37"/>
      <c r="M191" s="37"/>
      <c r="N191" s="37"/>
      <c r="O191" s="211"/>
      <c r="Q191" s="211"/>
      <c r="R191" s="211"/>
      <c r="S191" s="211"/>
      <c r="T191" s="211"/>
      <c r="U191" s="211"/>
      <c r="V191" s="211"/>
      <c r="W191" s="211"/>
      <c r="X191" s="211"/>
      <c r="Y191" s="211"/>
      <c r="Z191" s="211"/>
    </row>
    <row r="192" spans="1:26" s="210" customFormat="1" ht="33" hidden="1">
      <c r="A192" s="246"/>
      <c r="B192" s="22" t="s">
        <v>141</v>
      </c>
      <c r="C192" s="23"/>
      <c r="D192" s="24"/>
      <c r="E192" s="25"/>
      <c r="F192" s="25"/>
      <c r="G192" s="25"/>
      <c r="H192" s="25"/>
      <c r="I192" s="25"/>
      <c r="J192" s="25"/>
      <c r="K192" s="25"/>
      <c r="L192" s="25"/>
      <c r="M192" s="25"/>
      <c r="N192" s="25"/>
      <c r="O192" s="211"/>
      <c r="Q192" s="211"/>
      <c r="R192" s="211"/>
      <c r="S192" s="211"/>
      <c r="T192" s="211"/>
      <c r="U192" s="211"/>
      <c r="V192" s="211"/>
      <c r="W192" s="211"/>
      <c r="X192" s="211"/>
      <c r="Y192" s="211"/>
      <c r="Z192" s="211"/>
    </row>
    <row r="193" spans="1:26" s="210" customFormat="1" ht="33" hidden="1">
      <c r="A193" s="246"/>
      <c r="B193" s="22" t="s">
        <v>335</v>
      </c>
      <c r="C193" s="23"/>
      <c r="D193" s="24"/>
      <c r="E193" s="25">
        <f>SUM(E194)</f>
        <v>1115</v>
      </c>
      <c r="F193" s="25">
        <f t="shared" ref="F193:N193" si="30">SUM(F194)</f>
        <v>0</v>
      </c>
      <c r="G193" s="25">
        <f t="shared" si="30"/>
        <v>900</v>
      </c>
      <c r="H193" s="25">
        <f t="shared" si="30"/>
        <v>215</v>
      </c>
      <c r="I193" s="25">
        <f t="shared" si="30"/>
        <v>1115</v>
      </c>
      <c r="J193" s="25">
        <f t="shared" si="30"/>
        <v>900</v>
      </c>
      <c r="K193" s="25">
        <f t="shared" si="30"/>
        <v>1113.49</v>
      </c>
      <c r="L193" s="25">
        <f t="shared" si="30"/>
        <v>900</v>
      </c>
      <c r="M193" s="25">
        <f t="shared" si="30"/>
        <v>900</v>
      </c>
      <c r="N193" s="25">
        <f t="shared" si="30"/>
        <v>900</v>
      </c>
      <c r="O193" s="211"/>
      <c r="Q193" s="211"/>
      <c r="R193" s="211"/>
      <c r="S193" s="211"/>
      <c r="T193" s="211"/>
      <c r="U193" s="211"/>
      <c r="V193" s="211"/>
      <c r="W193" s="211"/>
      <c r="X193" s="211"/>
      <c r="Y193" s="211"/>
      <c r="Z193" s="211"/>
    </row>
    <row r="194" spans="1:26" s="83" customFormat="1" ht="49.5" hidden="1">
      <c r="A194" s="34" t="s">
        <v>431</v>
      </c>
      <c r="B194" s="41" t="s">
        <v>432</v>
      </c>
      <c r="C194" s="76">
        <v>2019</v>
      </c>
      <c r="D194" s="76" t="s">
        <v>433</v>
      </c>
      <c r="E194" s="33">
        <v>1115</v>
      </c>
      <c r="F194" s="33"/>
      <c r="G194" s="33">
        <v>900</v>
      </c>
      <c r="H194" s="33">
        <f>1115-900</f>
        <v>215</v>
      </c>
      <c r="I194" s="33">
        <v>1115</v>
      </c>
      <c r="J194" s="33">
        <v>900</v>
      </c>
      <c r="K194" s="33">
        <f>1115-1.51</f>
        <v>1113.49</v>
      </c>
      <c r="L194" s="33">
        <f>+M194</f>
        <v>900</v>
      </c>
      <c r="M194" s="33">
        <v>900</v>
      </c>
      <c r="N194" s="33">
        <v>900</v>
      </c>
      <c r="O194" s="75" t="s">
        <v>434</v>
      </c>
      <c r="Q194" s="82"/>
      <c r="R194" s="82"/>
      <c r="S194" s="82"/>
      <c r="T194" s="82"/>
      <c r="U194" s="82"/>
      <c r="V194" s="82"/>
      <c r="W194" s="82"/>
      <c r="X194" s="82"/>
      <c r="Y194" s="82"/>
      <c r="Z194" s="82"/>
    </row>
    <row r="195" spans="1:26" s="210" customFormat="1" ht="16.5" hidden="1">
      <c r="A195" s="246" t="s">
        <v>615</v>
      </c>
      <c r="B195" s="81" t="s">
        <v>512</v>
      </c>
      <c r="C195" s="247"/>
      <c r="D195" s="247"/>
      <c r="E195" s="268">
        <f>+E196+E211+E212</f>
        <v>36184</v>
      </c>
      <c r="F195" s="268">
        <f t="shared" ref="F195:N195" si="31">+F196+F211+F212</f>
        <v>0</v>
      </c>
      <c r="G195" s="268">
        <f t="shared" si="31"/>
        <v>4574</v>
      </c>
      <c r="H195" s="268">
        <f t="shared" si="31"/>
        <v>9519</v>
      </c>
      <c r="I195" s="268">
        <f t="shared" si="31"/>
        <v>28173</v>
      </c>
      <c r="J195" s="268">
        <f t="shared" si="31"/>
        <v>6099.741</v>
      </c>
      <c r="K195" s="268">
        <f t="shared" si="31"/>
        <v>26568.7</v>
      </c>
      <c r="L195" s="268">
        <f t="shared" si="31"/>
        <v>28173</v>
      </c>
      <c r="M195" s="268">
        <f t="shared" si="31"/>
        <v>6099.741</v>
      </c>
      <c r="N195" s="268">
        <f t="shared" si="31"/>
        <v>6099.741</v>
      </c>
      <c r="O195" s="211"/>
      <c r="Q195" s="211"/>
      <c r="R195" s="211"/>
      <c r="S195" s="211"/>
      <c r="T195" s="211"/>
      <c r="U195" s="211"/>
      <c r="V195" s="211"/>
      <c r="W195" s="211"/>
      <c r="X195" s="211"/>
      <c r="Y195" s="211"/>
      <c r="Z195" s="211"/>
    </row>
    <row r="196" spans="1:26" s="210" customFormat="1" ht="49.5" hidden="1">
      <c r="A196" s="246"/>
      <c r="B196" s="73" t="s">
        <v>379</v>
      </c>
      <c r="C196" s="247"/>
      <c r="D196" s="247"/>
      <c r="E196" s="268">
        <f>SUM(E197:E210)</f>
        <v>22091</v>
      </c>
      <c r="F196" s="268">
        <f t="shared" ref="F196:N196" si="32">SUM(F197:F210)</f>
        <v>0</v>
      </c>
      <c r="G196" s="268">
        <f t="shared" si="32"/>
        <v>0</v>
      </c>
      <c r="H196" s="268">
        <f t="shared" si="32"/>
        <v>0</v>
      </c>
      <c r="I196" s="268">
        <f t="shared" si="32"/>
        <v>15456</v>
      </c>
      <c r="J196" s="268">
        <f t="shared" si="32"/>
        <v>1525.741</v>
      </c>
      <c r="K196" s="268">
        <f t="shared" si="32"/>
        <v>15645</v>
      </c>
      <c r="L196" s="268">
        <f t="shared" si="32"/>
        <v>15456</v>
      </c>
      <c r="M196" s="268">
        <f t="shared" si="32"/>
        <v>1525.741</v>
      </c>
      <c r="N196" s="268">
        <f t="shared" si="32"/>
        <v>1525.741</v>
      </c>
      <c r="O196" s="211"/>
      <c r="Q196" s="211"/>
      <c r="R196" s="211"/>
      <c r="S196" s="211"/>
      <c r="T196" s="211"/>
      <c r="U196" s="211"/>
      <c r="V196" s="211"/>
      <c r="W196" s="211"/>
      <c r="X196" s="211"/>
      <c r="Y196" s="211"/>
      <c r="Z196" s="211"/>
    </row>
    <row r="197" spans="1:26" s="83" customFormat="1" ht="33" hidden="1">
      <c r="A197" s="34" t="s">
        <v>21</v>
      </c>
      <c r="B197" s="269" t="s">
        <v>436</v>
      </c>
      <c r="C197" s="130" t="s">
        <v>437</v>
      </c>
      <c r="D197" s="76" t="s">
        <v>438</v>
      </c>
      <c r="E197" s="270">
        <v>319</v>
      </c>
      <c r="F197" s="270"/>
      <c r="G197" s="270"/>
      <c r="H197" s="270"/>
      <c r="I197" s="270">
        <v>299</v>
      </c>
      <c r="J197" s="270">
        <v>48.52</v>
      </c>
      <c r="K197" s="270">
        <v>301</v>
      </c>
      <c r="L197" s="270">
        <v>299</v>
      </c>
      <c r="M197" s="270">
        <v>48.52</v>
      </c>
      <c r="N197" s="270">
        <v>48.52</v>
      </c>
      <c r="O197" s="82"/>
      <c r="Q197" s="82"/>
      <c r="R197" s="82"/>
      <c r="S197" s="82"/>
      <c r="T197" s="82"/>
      <c r="U197" s="82"/>
      <c r="V197" s="82"/>
      <c r="W197" s="82"/>
      <c r="X197" s="82"/>
      <c r="Y197" s="82"/>
      <c r="Z197" s="82"/>
    </row>
    <row r="198" spans="1:26" s="83" customFormat="1" ht="33" hidden="1">
      <c r="A198" s="34" t="s">
        <v>28</v>
      </c>
      <c r="B198" s="269" t="s">
        <v>439</v>
      </c>
      <c r="C198" s="271" t="s">
        <v>440</v>
      </c>
      <c r="D198" s="76" t="s">
        <v>441</v>
      </c>
      <c r="E198" s="270">
        <v>1824</v>
      </c>
      <c r="F198" s="270"/>
      <c r="G198" s="270"/>
      <c r="H198" s="270"/>
      <c r="I198" s="270">
        <v>1664</v>
      </c>
      <c r="J198" s="270">
        <v>82</v>
      </c>
      <c r="K198" s="270">
        <v>1710</v>
      </c>
      <c r="L198" s="270">
        <v>1664</v>
      </c>
      <c r="M198" s="270">
        <v>82</v>
      </c>
      <c r="N198" s="270">
        <v>82</v>
      </c>
      <c r="O198" s="82"/>
      <c r="Q198" s="82"/>
      <c r="R198" s="82"/>
      <c r="S198" s="82"/>
      <c r="T198" s="82"/>
      <c r="U198" s="82"/>
      <c r="V198" s="82"/>
      <c r="W198" s="82"/>
      <c r="X198" s="82"/>
      <c r="Y198" s="82"/>
      <c r="Z198" s="82"/>
    </row>
    <row r="199" spans="1:26" s="83" customFormat="1" ht="33">
      <c r="A199" s="34" t="s">
        <v>24</v>
      </c>
      <c r="B199" s="269" t="s">
        <v>442</v>
      </c>
      <c r="C199" s="76" t="s">
        <v>443</v>
      </c>
      <c r="D199" s="76" t="s">
        <v>444</v>
      </c>
      <c r="E199" s="270">
        <v>1980</v>
      </c>
      <c r="F199" s="270"/>
      <c r="G199" s="270"/>
      <c r="H199" s="270"/>
      <c r="I199" s="270">
        <v>1803</v>
      </c>
      <c r="J199" s="270">
        <v>58.026000000000003</v>
      </c>
      <c r="K199" s="270">
        <v>1809</v>
      </c>
      <c r="L199" s="270">
        <v>1803</v>
      </c>
      <c r="M199" s="270">
        <v>58.026000000000003</v>
      </c>
      <c r="N199" s="270">
        <v>58.026000000000003</v>
      </c>
      <c r="O199" s="82"/>
      <c r="P199" s="83">
        <v>1</v>
      </c>
      <c r="Q199" s="82"/>
      <c r="R199" s="82"/>
      <c r="S199" s="82"/>
      <c r="T199" s="82"/>
      <c r="U199" s="82"/>
      <c r="V199" s="82"/>
      <c r="W199" s="82"/>
      <c r="X199" s="82"/>
      <c r="Y199" s="82"/>
      <c r="Z199" s="82"/>
    </row>
    <row r="200" spans="1:26" s="83" customFormat="1" ht="33">
      <c r="A200" s="34" t="s">
        <v>25</v>
      </c>
      <c r="B200" s="269" t="s">
        <v>445</v>
      </c>
      <c r="C200" s="130" t="s">
        <v>446</v>
      </c>
      <c r="D200" s="76" t="s">
        <v>447</v>
      </c>
      <c r="E200" s="270">
        <v>2377</v>
      </c>
      <c r="F200" s="270"/>
      <c r="G200" s="270"/>
      <c r="H200" s="270"/>
      <c r="I200" s="270">
        <v>2170</v>
      </c>
      <c r="J200" s="270">
        <v>108.95</v>
      </c>
      <c r="K200" s="270">
        <v>2170</v>
      </c>
      <c r="L200" s="270">
        <v>2170</v>
      </c>
      <c r="M200" s="270">
        <v>108.95</v>
      </c>
      <c r="N200" s="270">
        <v>108.95</v>
      </c>
      <c r="O200" s="82"/>
      <c r="P200" s="83">
        <v>1</v>
      </c>
      <c r="Q200" s="82"/>
      <c r="R200" s="82"/>
      <c r="S200" s="82"/>
      <c r="T200" s="82"/>
      <c r="U200" s="82"/>
      <c r="V200" s="82"/>
      <c r="W200" s="82"/>
      <c r="X200" s="82"/>
      <c r="Y200" s="82"/>
      <c r="Z200" s="82"/>
    </row>
    <row r="201" spans="1:26" s="83" customFormat="1" ht="33" hidden="1">
      <c r="A201" s="34" t="s">
        <v>26</v>
      </c>
      <c r="B201" s="269" t="s">
        <v>448</v>
      </c>
      <c r="C201" s="130" t="s">
        <v>449</v>
      </c>
      <c r="D201" s="76" t="s">
        <v>450</v>
      </c>
      <c r="E201" s="270">
        <v>540</v>
      </c>
      <c r="F201" s="270"/>
      <c r="G201" s="270"/>
      <c r="H201" s="270"/>
      <c r="I201" s="270">
        <v>458</v>
      </c>
      <c r="J201" s="270">
        <v>78.371000000000009</v>
      </c>
      <c r="K201" s="270">
        <v>472</v>
      </c>
      <c r="L201" s="270">
        <v>458</v>
      </c>
      <c r="M201" s="270">
        <v>78.371000000000009</v>
      </c>
      <c r="N201" s="270">
        <v>78.371000000000009</v>
      </c>
      <c r="O201" s="82"/>
      <c r="Q201" s="82"/>
      <c r="R201" s="82"/>
      <c r="S201" s="82"/>
      <c r="T201" s="82"/>
      <c r="U201" s="82"/>
      <c r="V201" s="82"/>
      <c r="W201" s="82"/>
      <c r="X201" s="82"/>
      <c r="Y201" s="82"/>
      <c r="Z201" s="82"/>
    </row>
    <row r="202" spans="1:26" s="83" customFormat="1" ht="33" hidden="1">
      <c r="A202" s="34" t="s">
        <v>27</v>
      </c>
      <c r="B202" s="269" t="s">
        <v>451</v>
      </c>
      <c r="C202" s="76" t="s">
        <v>452</v>
      </c>
      <c r="D202" s="76" t="s">
        <v>453</v>
      </c>
      <c r="E202" s="270">
        <v>543</v>
      </c>
      <c r="F202" s="270"/>
      <c r="G202" s="270"/>
      <c r="H202" s="270"/>
      <c r="I202" s="270">
        <v>486</v>
      </c>
      <c r="J202" s="270">
        <v>86.111999999999995</v>
      </c>
      <c r="K202" s="270">
        <v>498</v>
      </c>
      <c r="L202" s="270">
        <v>486</v>
      </c>
      <c r="M202" s="270">
        <v>86.111999999999995</v>
      </c>
      <c r="N202" s="270">
        <v>86.111999999999995</v>
      </c>
      <c r="O202" s="82"/>
      <c r="Q202" s="82"/>
      <c r="R202" s="82"/>
      <c r="S202" s="82"/>
      <c r="T202" s="82"/>
      <c r="U202" s="82"/>
      <c r="V202" s="82"/>
      <c r="W202" s="82"/>
      <c r="X202" s="82"/>
      <c r="Y202" s="82"/>
      <c r="Z202" s="82"/>
    </row>
    <row r="203" spans="1:26" s="83" customFormat="1" ht="33" hidden="1">
      <c r="A203" s="34" t="s">
        <v>47</v>
      </c>
      <c r="B203" s="269" t="s">
        <v>454</v>
      </c>
      <c r="C203" s="130" t="s">
        <v>455</v>
      </c>
      <c r="D203" s="76" t="s">
        <v>456</v>
      </c>
      <c r="E203" s="270">
        <v>954</v>
      </c>
      <c r="F203" s="270"/>
      <c r="G203" s="270"/>
      <c r="H203" s="270"/>
      <c r="I203" s="270">
        <v>864</v>
      </c>
      <c r="J203" s="270">
        <v>63.915999999999997</v>
      </c>
      <c r="K203" s="270">
        <v>873</v>
      </c>
      <c r="L203" s="270">
        <v>864</v>
      </c>
      <c r="M203" s="270">
        <v>63.915999999999997</v>
      </c>
      <c r="N203" s="270">
        <v>63.915999999999997</v>
      </c>
      <c r="O203" s="82"/>
      <c r="Q203" s="82"/>
      <c r="R203" s="82"/>
      <c r="S203" s="82"/>
      <c r="T203" s="82"/>
      <c r="U203" s="82"/>
      <c r="V203" s="82"/>
      <c r="W203" s="82"/>
      <c r="X203" s="82"/>
      <c r="Y203" s="82"/>
      <c r="Z203" s="82"/>
    </row>
    <row r="204" spans="1:26" s="83" customFormat="1" ht="33" hidden="1">
      <c r="A204" s="34" t="s">
        <v>49</v>
      </c>
      <c r="B204" s="269" t="s">
        <v>457</v>
      </c>
      <c r="C204" s="80" t="s">
        <v>458</v>
      </c>
      <c r="D204" s="46" t="s">
        <v>459</v>
      </c>
      <c r="E204" s="270">
        <v>2487</v>
      </c>
      <c r="F204" s="270"/>
      <c r="G204" s="270"/>
      <c r="H204" s="270"/>
      <c r="I204" s="270">
        <v>2163</v>
      </c>
      <c r="J204" s="270">
        <v>153.67699999999999</v>
      </c>
      <c r="K204" s="270">
        <v>2172</v>
      </c>
      <c r="L204" s="270">
        <v>2163</v>
      </c>
      <c r="M204" s="270">
        <v>153.67699999999999</v>
      </c>
      <c r="N204" s="270">
        <v>153.67699999999999</v>
      </c>
      <c r="O204" s="82"/>
      <c r="Q204" s="82"/>
      <c r="R204" s="82"/>
      <c r="S204" s="82"/>
      <c r="T204" s="82"/>
      <c r="U204" s="82"/>
      <c r="V204" s="82"/>
      <c r="W204" s="82"/>
      <c r="X204" s="82"/>
      <c r="Y204" s="82"/>
      <c r="Z204" s="82"/>
    </row>
    <row r="205" spans="1:26" s="83" customFormat="1" ht="33" hidden="1">
      <c r="A205" s="34" t="s">
        <v>50</v>
      </c>
      <c r="B205" s="269" t="s">
        <v>460</v>
      </c>
      <c r="C205" s="130" t="s">
        <v>461</v>
      </c>
      <c r="D205" s="76" t="s">
        <v>462</v>
      </c>
      <c r="E205" s="270">
        <v>911</v>
      </c>
      <c r="F205" s="270"/>
      <c r="G205" s="270"/>
      <c r="H205" s="270"/>
      <c r="I205" s="270">
        <v>821</v>
      </c>
      <c r="J205" s="270">
        <v>161.16900000000001</v>
      </c>
      <c r="K205" s="270">
        <v>840</v>
      </c>
      <c r="L205" s="270">
        <v>821</v>
      </c>
      <c r="M205" s="270">
        <v>161.16900000000001</v>
      </c>
      <c r="N205" s="270">
        <v>161.16900000000001</v>
      </c>
      <c r="O205" s="82"/>
      <c r="Q205" s="82"/>
      <c r="R205" s="82"/>
      <c r="S205" s="82"/>
      <c r="T205" s="82"/>
      <c r="U205" s="82"/>
      <c r="V205" s="82"/>
      <c r="W205" s="82"/>
      <c r="X205" s="82"/>
      <c r="Y205" s="82"/>
      <c r="Z205" s="82"/>
    </row>
    <row r="206" spans="1:26" s="83" customFormat="1" ht="33" hidden="1">
      <c r="A206" s="34" t="s">
        <v>51</v>
      </c>
      <c r="B206" s="269" t="s">
        <v>463</v>
      </c>
      <c r="C206" s="130" t="s">
        <v>464</v>
      </c>
      <c r="D206" s="76" t="s">
        <v>465</v>
      </c>
      <c r="E206" s="270">
        <v>1097</v>
      </c>
      <c r="F206" s="270"/>
      <c r="G206" s="270"/>
      <c r="H206" s="270"/>
      <c r="I206" s="270">
        <v>961</v>
      </c>
      <c r="J206" s="270">
        <v>202</v>
      </c>
      <c r="K206" s="270">
        <v>975</v>
      </c>
      <c r="L206" s="270">
        <v>961</v>
      </c>
      <c r="M206" s="270">
        <v>202</v>
      </c>
      <c r="N206" s="270">
        <v>202</v>
      </c>
      <c r="O206" s="82"/>
      <c r="Q206" s="82"/>
      <c r="R206" s="82"/>
      <c r="S206" s="82"/>
      <c r="T206" s="82"/>
      <c r="U206" s="82"/>
      <c r="V206" s="82"/>
      <c r="W206" s="82"/>
      <c r="X206" s="82"/>
      <c r="Y206" s="82"/>
      <c r="Z206" s="82"/>
    </row>
    <row r="207" spans="1:26" s="83" customFormat="1" ht="33">
      <c r="A207" s="34" t="s">
        <v>53</v>
      </c>
      <c r="B207" s="269" t="s">
        <v>466</v>
      </c>
      <c r="C207" s="130" t="s">
        <v>467</v>
      </c>
      <c r="D207" s="76" t="s">
        <v>468</v>
      </c>
      <c r="E207" s="270">
        <v>2288</v>
      </c>
      <c r="F207" s="270"/>
      <c r="G207" s="270"/>
      <c r="H207" s="270"/>
      <c r="I207" s="270">
        <v>1985</v>
      </c>
      <c r="J207" s="270">
        <v>392</v>
      </c>
      <c r="K207" s="270">
        <v>2037</v>
      </c>
      <c r="L207" s="270">
        <v>1985</v>
      </c>
      <c r="M207" s="270">
        <v>392</v>
      </c>
      <c r="N207" s="270">
        <v>392</v>
      </c>
      <c r="O207" s="82"/>
      <c r="P207" s="83">
        <v>1</v>
      </c>
      <c r="Q207" s="82"/>
      <c r="R207" s="82"/>
      <c r="S207" s="82"/>
      <c r="T207" s="82"/>
      <c r="U207" s="82"/>
      <c r="V207" s="82"/>
      <c r="W207" s="82"/>
      <c r="X207" s="82"/>
      <c r="Y207" s="82"/>
      <c r="Z207" s="82"/>
    </row>
    <row r="208" spans="1:26" s="83" customFormat="1" ht="33" hidden="1">
      <c r="A208" s="34" t="s">
        <v>55</v>
      </c>
      <c r="B208" s="269" t="s">
        <v>469</v>
      </c>
      <c r="C208" s="272" t="s">
        <v>470</v>
      </c>
      <c r="D208" s="272" t="s">
        <v>471</v>
      </c>
      <c r="E208" s="270">
        <v>476</v>
      </c>
      <c r="F208" s="270"/>
      <c r="G208" s="270"/>
      <c r="H208" s="270"/>
      <c r="I208" s="270">
        <v>376</v>
      </c>
      <c r="J208" s="270">
        <v>40</v>
      </c>
      <c r="K208" s="270">
        <v>376</v>
      </c>
      <c r="L208" s="270">
        <v>376</v>
      </c>
      <c r="M208" s="270">
        <v>40</v>
      </c>
      <c r="N208" s="270">
        <v>40</v>
      </c>
      <c r="O208" s="82"/>
      <c r="Q208" s="82"/>
      <c r="R208" s="82"/>
      <c r="S208" s="82"/>
      <c r="T208" s="82"/>
      <c r="U208" s="82"/>
      <c r="V208" s="82"/>
      <c r="W208" s="82"/>
      <c r="X208" s="82"/>
      <c r="Y208" s="82"/>
      <c r="Z208" s="82"/>
    </row>
    <row r="209" spans="1:26" s="83" customFormat="1" ht="33" hidden="1">
      <c r="A209" s="34" t="s">
        <v>56</v>
      </c>
      <c r="B209" s="58" t="s">
        <v>472</v>
      </c>
      <c r="C209" s="76" t="s">
        <v>467</v>
      </c>
      <c r="D209" s="76" t="s">
        <v>473</v>
      </c>
      <c r="E209" s="270">
        <v>4798</v>
      </c>
      <c r="F209" s="270"/>
      <c r="G209" s="270"/>
      <c r="H209" s="270"/>
      <c r="I209" s="270"/>
      <c r="J209" s="270">
        <v>22</v>
      </c>
      <c r="K209" s="270"/>
      <c r="L209" s="270"/>
      <c r="M209" s="270">
        <v>22</v>
      </c>
      <c r="N209" s="270">
        <v>22</v>
      </c>
      <c r="O209" s="82"/>
      <c r="Q209" s="82"/>
      <c r="R209" s="82"/>
      <c r="S209" s="82"/>
      <c r="T209" s="82"/>
      <c r="U209" s="82"/>
      <c r="V209" s="82"/>
      <c r="W209" s="82"/>
      <c r="X209" s="82"/>
      <c r="Y209" s="82"/>
      <c r="Z209" s="82"/>
    </row>
    <row r="210" spans="1:26" s="83" customFormat="1" ht="33" hidden="1">
      <c r="A210" s="34" t="s">
        <v>57</v>
      </c>
      <c r="B210" s="58" t="s">
        <v>474</v>
      </c>
      <c r="C210" s="130" t="s">
        <v>475</v>
      </c>
      <c r="D210" s="76" t="s">
        <v>476</v>
      </c>
      <c r="E210" s="270">
        <v>1497</v>
      </c>
      <c r="F210" s="270"/>
      <c r="G210" s="270"/>
      <c r="H210" s="270"/>
      <c r="I210" s="270">
        <v>1406</v>
      </c>
      <c r="J210" s="270">
        <v>29</v>
      </c>
      <c r="K210" s="270">
        <v>1412</v>
      </c>
      <c r="L210" s="270">
        <v>1406</v>
      </c>
      <c r="M210" s="270">
        <v>29</v>
      </c>
      <c r="N210" s="270">
        <v>29</v>
      </c>
      <c r="O210" s="82"/>
      <c r="Q210" s="82"/>
      <c r="R210" s="82"/>
      <c r="S210" s="82"/>
      <c r="T210" s="82"/>
      <c r="U210" s="82"/>
      <c r="V210" s="82"/>
      <c r="W210" s="82"/>
      <c r="X210" s="82"/>
      <c r="Y210" s="82"/>
      <c r="Z210" s="82"/>
    </row>
    <row r="211" spans="1:26" s="210" customFormat="1" ht="33" hidden="1">
      <c r="A211" s="246"/>
      <c r="B211" s="22" t="s">
        <v>141</v>
      </c>
      <c r="C211" s="23"/>
      <c r="D211" s="24"/>
      <c r="E211" s="273"/>
      <c r="F211" s="273"/>
      <c r="G211" s="273"/>
      <c r="H211" s="273"/>
      <c r="I211" s="273"/>
      <c r="J211" s="273"/>
      <c r="K211" s="273"/>
      <c r="L211" s="273"/>
      <c r="M211" s="273"/>
      <c r="N211" s="273"/>
      <c r="O211" s="211"/>
      <c r="Q211" s="211"/>
      <c r="R211" s="211"/>
      <c r="S211" s="211"/>
      <c r="T211" s="211"/>
      <c r="U211" s="211"/>
      <c r="V211" s="211"/>
      <c r="W211" s="211"/>
      <c r="X211" s="211"/>
      <c r="Y211" s="211"/>
      <c r="Z211" s="211"/>
    </row>
    <row r="212" spans="1:26" s="210" customFormat="1" ht="33" hidden="1">
      <c r="A212" s="246"/>
      <c r="B212" s="22" t="s">
        <v>335</v>
      </c>
      <c r="C212" s="23"/>
      <c r="D212" s="24"/>
      <c r="E212" s="273">
        <f>SUM(E213:E227)</f>
        <v>14093</v>
      </c>
      <c r="F212" s="273">
        <f t="shared" ref="F212:N212" si="33">SUM(F213:F227)</f>
        <v>0</v>
      </c>
      <c r="G212" s="273">
        <f t="shared" si="33"/>
        <v>4574</v>
      </c>
      <c r="H212" s="273">
        <f t="shared" si="33"/>
        <v>9519</v>
      </c>
      <c r="I212" s="273">
        <f t="shared" si="33"/>
        <v>12717</v>
      </c>
      <c r="J212" s="273">
        <f t="shared" si="33"/>
        <v>4574</v>
      </c>
      <c r="K212" s="273">
        <f t="shared" si="33"/>
        <v>10923.7</v>
      </c>
      <c r="L212" s="273">
        <f t="shared" si="33"/>
        <v>12717</v>
      </c>
      <c r="M212" s="273">
        <f t="shared" si="33"/>
        <v>4574</v>
      </c>
      <c r="N212" s="273">
        <f t="shared" si="33"/>
        <v>4574</v>
      </c>
      <c r="O212" s="211"/>
      <c r="Q212" s="211"/>
      <c r="R212" s="211"/>
      <c r="S212" s="211"/>
      <c r="T212" s="211"/>
      <c r="U212" s="211"/>
      <c r="V212" s="211"/>
      <c r="W212" s="211"/>
      <c r="X212" s="211"/>
      <c r="Y212" s="211"/>
      <c r="Z212" s="211"/>
    </row>
    <row r="213" spans="1:26" s="83" customFormat="1" ht="33">
      <c r="A213" s="34" t="s">
        <v>21</v>
      </c>
      <c r="B213" s="121" t="s">
        <v>477</v>
      </c>
      <c r="C213" s="50" t="s">
        <v>478</v>
      </c>
      <c r="D213" s="39" t="s">
        <v>479</v>
      </c>
      <c r="E213" s="274">
        <v>1518</v>
      </c>
      <c r="F213" s="270"/>
      <c r="G213" s="270">
        <v>255</v>
      </c>
      <c r="H213" s="270">
        <f>+E213-G213</f>
        <v>1263</v>
      </c>
      <c r="I213" s="270">
        <v>1384</v>
      </c>
      <c r="J213" s="270">
        <v>255</v>
      </c>
      <c r="K213" s="270">
        <v>1398</v>
      </c>
      <c r="L213" s="270">
        <v>1384</v>
      </c>
      <c r="M213" s="270">
        <v>255</v>
      </c>
      <c r="N213" s="270">
        <v>255</v>
      </c>
      <c r="O213" s="82"/>
      <c r="P213" s="83">
        <v>1</v>
      </c>
      <c r="Q213" s="82"/>
      <c r="R213" s="82"/>
      <c r="S213" s="82"/>
      <c r="T213" s="82"/>
      <c r="U213" s="82"/>
      <c r="V213" s="82"/>
      <c r="W213" s="82"/>
      <c r="X213" s="82"/>
      <c r="Y213" s="82"/>
      <c r="Z213" s="82"/>
    </row>
    <row r="214" spans="1:26" s="83" customFormat="1" ht="49.5" hidden="1">
      <c r="A214" s="34" t="s">
        <v>28</v>
      </c>
      <c r="B214" s="58" t="s">
        <v>480</v>
      </c>
      <c r="C214" s="50" t="s">
        <v>481</v>
      </c>
      <c r="D214" s="53" t="s">
        <v>482</v>
      </c>
      <c r="E214" s="54">
        <v>2061</v>
      </c>
      <c r="F214" s="270"/>
      <c r="G214" s="270">
        <v>1240</v>
      </c>
      <c r="H214" s="270">
        <f t="shared" ref="H214:H227" si="34">+E214-G214</f>
        <v>821</v>
      </c>
      <c r="I214" s="274">
        <f>1843</f>
        <v>1843</v>
      </c>
      <c r="J214" s="270">
        <v>1240</v>
      </c>
      <c r="K214" s="274">
        <v>1876</v>
      </c>
      <c r="L214" s="274">
        <f>1843</f>
        <v>1843</v>
      </c>
      <c r="M214" s="270">
        <v>1240</v>
      </c>
      <c r="N214" s="270">
        <v>1240</v>
      </c>
      <c r="O214" s="82"/>
      <c r="Q214" s="82"/>
      <c r="R214" s="82"/>
      <c r="S214" s="82"/>
      <c r="T214" s="82"/>
      <c r="U214" s="82"/>
      <c r="V214" s="82"/>
      <c r="W214" s="82"/>
      <c r="X214" s="82"/>
      <c r="Y214" s="82"/>
      <c r="Z214" s="82"/>
    </row>
    <row r="215" spans="1:26" s="83" customFormat="1" ht="33" hidden="1">
      <c r="A215" s="34" t="s">
        <v>24</v>
      </c>
      <c r="B215" s="121" t="s">
        <v>483</v>
      </c>
      <c r="C215" s="50" t="s">
        <v>484</v>
      </c>
      <c r="D215" s="39" t="s">
        <v>485</v>
      </c>
      <c r="E215" s="274">
        <v>713</v>
      </c>
      <c r="F215" s="270"/>
      <c r="G215" s="270">
        <v>19</v>
      </c>
      <c r="H215" s="270">
        <f t="shared" si="34"/>
        <v>694</v>
      </c>
      <c r="I215" s="274">
        <v>640</v>
      </c>
      <c r="J215" s="270">
        <v>19</v>
      </c>
      <c r="K215" s="274">
        <v>647</v>
      </c>
      <c r="L215" s="274">
        <v>640</v>
      </c>
      <c r="M215" s="270">
        <v>19</v>
      </c>
      <c r="N215" s="270">
        <v>19</v>
      </c>
      <c r="O215" s="82"/>
      <c r="Q215" s="82"/>
      <c r="R215" s="82"/>
      <c r="S215" s="82"/>
      <c r="T215" s="82"/>
      <c r="U215" s="82"/>
      <c r="V215" s="82"/>
      <c r="W215" s="82"/>
      <c r="X215" s="82"/>
      <c r="Y215" s="82"/>
      <c r="Z215" s="82"/>
    </row>
    <row r="216" spans="1:26" s="83" customFormat="1" ht="33">
      <c r="A216" s="34" t="s">
        <v>25</v>
      </c>
      <c r="B216" s="121" t="s">
        <v>486</v>
      </c>
      <c r="C216" s="50" t="s">
        <v>487</v>
      </c>
      <c r="D216" s="39" t="s">
        <v>488</v>
      </c>
      <c r="E216" s="274">
        <v>2480</v>
      </c>
      <c r="F216" s="270"/>
      <c r="G216" s="270">
        <v>311</v>
      </c>
      <c r="H216" s="270">
        <f t="shared" si="34"/>
        <v>2169</v>
      </c>
      <c r="I216" s="274">
        <f>2278+65</f>
        <v>2343</v>
      </c>
      <c r="J216" s="270">
        <v>311</v>
      </c>
      <c r="K216" s="275">
        <v>2367</v>
      </c>
      <c r="L216" s="274">
        <f>2278+65</f>
        <v>2343</v>
      </c>
      <c r="M216" s="270">
        <v>311</v>
      </c>
      <c r="N216" s="270">
        <v>311</v>
      </c>
      <c r="O216" s="82"/>
      <c r="P216" s="83">
        <v>1</v>
      </c>
      <c r="Q216" s="82"/>
      <c r="R216" s="82"/>
      <c r="S216" s="82"/>
      <c r="T216" s="82"/>
      <c r="U216" s="82"/>
      <c r="V216" s="82"/>
      <c r="W216" s="82"/>
      <c r="X216" s="82"/>
      <c r="Y216" s="82"/>
      <c r="Z216" s="82"/>
    </row>
    <row r="217" spans="1:26" s="83" customFormat="1" ht="33">
      <c r="A217" s="34" t="s">
        <v>26</v>
      </c>
      <c r="B217" s="121" t="s">
        <v>489</v>
      </c>
      <c r="C217" s="39" t="s">
        <v>490</v>
      </c>
      <c r="D217" s="39" t="s">
        <v>491</v>
      </c>
      <c r="E217" s="274">
        <v>314</v>
      </c>
      <c r="F217" s="270"/>
      <c r="G217" s="270">
        <v>4</v>
      </c>
      <c r="H217" s="270">
        <f t="shared" si="34"/>
        <v>310</v>
      </c>
      <c r="I217" s="274">
        <v>244</v>
      </c>
      <c r="J217" s="270">
        <v>4</v>
      </c>
      <c r="K217" s="275">
        <v>297</v>
      </c>
      <c r="L217" s="274">
        <v>244</v>
      </c>
      <c r="M217" s="270">
        <v>4</v>
      </c>
      <c r="N217" s="270">
        <v>4</v>
      </c>
      <c r="O217" s="82"/>
      <c r="P217" s="83">
        <v>1</v>
      </c>
      <c r="Q217" s="82"/>
      <c r="R217" s="82"/>
      <c r="S217" s="82"/>
      <c r="T217" s="82"/>
      <c r="U217" s="82"/>
      <c r="V217" s="82"/>
      <c r="W217" s="82"/>
      <c r="X217" s="82"/>
      <c r="Y217" s="82"/>
      <c r="Z217" s="82"/>
    </row>
    <row r="218" spans="1:26" s="83" customFormat="1" ht="33" hidden="1">
      <c r="A218" s="34" t="s">
        <v>27</v>
      </c>
      <c r="B218" s="121" t="s">
        <v>492</v>
      </c>
      <c r="C218" s="276" t="s">
        <v>481</v>
      </c>
      <c r="D218" s="39" t="s">
        <v>493</v>
      </c>
      <c r="E218" s="274">
        <v>375</v>
      </c>
      <c r="F218" s="270"/>
      <c r="G218" s="270">
        <v>193</v>
      </c>
      <c r="H218" s="270">
        <f t="shared" si="34"/>
        <v>182</v>
      </c>
      <c r="I218" s="274">
        <v>343</v>
      </c>
      <c r="J218" s="270">
        <v>193</v>
      </c>
      <c r="K218" s="275">
        <v>343</v>
      </c>
      <c r="L218" s="274">
        <v>343</v>
      </c>
      <c r="M218" s="270">
        <v>193</v>
      </c>
      <c r="N218" s="270">
        <v>193</v>
      </c>
      <c r="O218" s="82"/>
      <c r="Q218" s="82"/>
      <c r="R218" s="82"/>
      <c r="S218" s="82"/>
      <c r="T218" s="82"/>
      <c r="U218" s="82"/>
      <c r="V218" s="82"/>
      <c r="W218" s="82"/>
      <c r="X218" s="82"/>
      <c r="Y218" s="82"/>
      <c r="Z218" s="82"/>
    </row>
    <row r="219" spans="1:26" s="83" customFormat="1" ht="33" hidden="1">
      <c r="A219" s="34" t="s">
        <v>47</v>
      </c>
      <c r="B219" s="121" t="s">
        <v>494</v>
      </c>
      <c r="C219" s="50" t="s">
        <v>495</v>
      </c>
      <c r="D219" s="39" t="s">
        <v>496</v>
      </c>
      <c r="E219" s="274">
        <v>1162</v>
      </c>
      <c r="F219" s="270"/>
      <c r="G219" s="270">
        <v>519</v>
      </c>
      <c r="H219" s="270">
        <f t="shared" si="34"/>
        <v>643</v>
      </c>
      <c r="I219" s="274">
        <v>1020</v>
      </c>
      <c r="J219" s="274">
        <v>519</v>
      </c>
      <c r="K219" s="274">
        <f>928+96+27+23+11+1.7</f>
        <v>1086.7</v>
      </c>
      <c r="L219" s="274">
        <v>1020</v>
      </c>
      <c r="M219" s="274">
        <v>519</v>
      </c>
      <c r="N219" s="274">
        <v>519</v>
      </c>
      <c r="O219" s="82"/>
      <c r="Q219" s="82"/>
      <c r="R219" s="82"/>
      <c r="S219" s="82"/>
      <c r="T219" s="82"/>
      <c r="U219" s="82"/>
      <c r="V219" s="82"/>
      <c r="W219" s="82"/>
      <c r="X219" s="82"/>
      <c r="Y219" s="82"/>
      <c r="Z219" s="82"/>
    </row>
    <row r="220" spans="1:26" s="83" customFormat="1" ht="49.5">
      <c r="A220" s="34" t="s">
        <v>49</v>
      </c>
      <c r="B220" s="121" t="s">
        <v>497</v>
      </c>
      <c r="C220" s="50" t="s">
        <v>495</v>
      </c>
      <c r="D220" s="39" t="s">
        <v>498</v>
      </c>
      <c r="E220" s="274">
        <v>1193</v>
      </c>
      <c r="F220" s="270"/>
      <c r="G220" s="270">
        <v>100</v>
      </c>
      <c r="H220" s="270">
        <f t="shared" si="34"/>
        <v>1093</v>
      </c>
      <c r="I220" s="274">
        <v>1000</v>
      </c>
      <c r="J220" s="275">
        <v>100</v>
      </c>
      <c r="K220" s="275">
        <v>1093</v>
      </c>
      <c r="L220" s="274">
        <v>1000</v>
      </c>
      <c r="M220" s="275">
        <v>100</v>
      </c>
      <c r="N220" s="275">
        <v>100</v>
      </c>
      <c r="O220" s="82"/>
      <c r="P220" s="83">
        <v>1</v>
      </c>
      <c r="Q220" s="82"/>
      <c r="R220" s="82"/>
      <c r="S220" s="82"/>
      <c r="T220" s="82"/>
      <c r="U220" s="82"/>
      <c r="V220" s="82"/>
      <c r="W220" s="82"/>
      <c r="X220" s="82"/>
      <c r="Y220" s="82"/>
      <c r="Z220" s="82"/>
    </row>
    <row r="221" spans="1:26" s="83" customFormat="1" ht="33" hidden="1">
      <c r="A221" s="34" t="s">
        <v>50</v>
      </c>
      <c r="B221" s="269" t="s">
        <v>499</v>
      </c>
      <c r="C221" s="76">
        <v>2018</v>
      </c>
      <c r="D221" s="76"/>
      <c r="E221" s="270">
        <v>339</v>
      </c>
      <c r="F221" s="270"/>
      <c r="G221" s="270">
        <v>339</v>
      </c>
      <c r="H221" s="270">
        <f t="shared" si="34"/>
        <v>0</v>
      </c>
      <c r="I221" s="270">
        <v>339</v>
      </c>
      <c r="J221" s="270">
        <v>339</v>
      </c>
      <c r="K221" s="270">
        <v>339</v>
      </c>
      <c r="L221" s="270">
        <v>339</v>
      </c>
      <c r="M221" s="270">
        <v>339</v>
      </c>
      <c r="N221" s="270">
        <v>339</v>
      </c>
      <c r="O221" s="82"/>
      <c r="Q221" s="82"/>
      <c r="R221" s="82"/>
      <c r="S221" s="82"/>
      <c r="T221" s="82"/>
      <c r="U221" s="82"/>
      <c r="V221" s="82"/>
      <c r="W221" s="82"/>
      <c r="X221" s="82"/>
      <c r="Y221" s="82"/>
      <c r="Z221" s="82"/>
    </row>
    <row r="222" spans="1:26" s="83" customFormat="1" ht="49.5" hidden="1">
      <c r="A222" s="34" t="s">
        <v>51</v>
      </c>
      <c r="B222" s="277" t="s">
        <v>500</v>
      </c>
      <c r="C222" s="278" t="s">
        <v>501</v>
      </c>
      <c r="D222" s="76" t="s">
        <v>502</v>
      </c>
      <c r="E222" s="270">
        <v>207</v>
      </c>
      <c r="F222" s="270"/>
      <c r="G222" s="270">
        <v>203</v>
      </c>
      <c r="H222" s="270">
        <f t="shared" si="34"/>
        <v>4</v>
      </c>
      <c r="I222" s="270">
        <v>203</v>
      </c>
      <c r="J222" s="270">
        <v>203</v>
      </c>
      <c r="K222" s="270">
        <v>203</v>
      </c>
      <c r="L222" s="270">
        <v>203</v>
      </c>
      <c r="M222" s="270">
        <v>203</v>
      </c>
      <c r="N222" s="270">
        <v>203</v>
      </c>
      <c r="O222" s="82"/>
      <c r="Q222" s="82"/>
      <c r="R222" s="82"/>
      <c r="S222" s="82"/>
      <c r="T222" s="82"/>
      <c r="U222" s="82"/>
      <c r="V222" s="82"/>
      <c r="W222" s="82"/>
      <c r="X222" s="82"/>
      <c r="Y222" s="82"/>
      <c r="Z222" s="82"/>
    </row>
    <row r="223" spans="1:26" s="83" customFormat="1" ht="33" hidden="1">
      <c r="A223" s="34" t="s">
        <v>53</v>
      </c>
      <c r="B223" s="269" t="s">
        <v>503</v>
      </c>
      <c r="C223" s="76">
        <v>2017</v>
      </c>
      <c r="D223" s="76"/>
      <c r="E223" s="270">
        <v>280</v>
      </c>
      <c r="F223" s="270"/>
      <c r="G223" s="270">
        <v>280</v>
      </c>
      <c r="H223" s="270">
        <f t="shared" si="34"/>
        <v>0</v>
      </c>
      <c r="I223" s="270">
        <v>280</v>
      </c>
      <c r="J223" s="270">
        <v>280</v>
      </c>
      <c r="K223" s="270">
        <v>280</v>
      </c>
      <c r="L223" s="270">
        <v>280</v>
      </c>
      <c r="M223" s="270">
        <v>280</v>
      </c>
      <c r="N223" s="270">
        <v>280</v>
      </c>
      <c r="O223" s="82"/>
      <c r="Q223" s="82"/>
      <c r="R223" s="82"/>
      <c r="S223" s="82"/>
      <c r="T223" s="82"/>
      <c r="U223" s="82"/>
      <c r="V223" s="82"/>
      <c r="W223" s="82"/>
      <c r="X223" s="82"/>
      <c r="Y223" s="82"/>
      <c r="Z223" s="82"/>
    </row>
    <row r="224" spans="1:26" s="83" customFormat="1" ht="33" hidden="1">
      <c r="A224" s="34" t="s">
        <v>55</v>
      </c>
      <c r="B224" s="269" t="s">
        <v>504</v>
      </c>
      <c r="C224" s="278" t="s">
        <v>505</v>
      </c>
      <c r="D224" s="279" t="s">
        <v>506</v>
      </c>
      <c r="E224" s="270">
        <v>358</v>
      </c>
      <c r="F224" s="270"/>
      <c r="G224" s="270">
        <v>93</v>
      </c>
      <c r="H224" s="270">
        <f t="shared" si="34"/>
        <v>265</v>
      </c>
      <c r="I224" s="270">
        <v>310</v>
      </c>
      <c r="J224" s="270">
        <v>93</v>
      </c>
      <c r="K224" s="270">
        <v>354</v>
      </c>
      <c r="L224" s="270">
        <v>310</v>
      </c>
      <c r="M224" s="270">
        <v>93</v>
      </c>
      <c r="N224" s="270">
        <v>93</v>
      </c>
      <c r="O224" s="82"/>
      <c r="Q224" s="82"/>
      <c r="R224" s="82"/>
      <c r="S224" s="82"/>
      <c r="T224" s="82"/>
      <c r="U224" s="82"/>
      <c r="V224" s="82"/>
      <c r="W224" s="82"/>
      <c r="X224" s="82"/>
      <c r="Y224" s="82"/>
      <c r="Z224" s="82"/>
    </row>
    <row r="225" spans="1:26" s="83" customFormat="1" ht="33" hidden="1">
      <c r="A225" s="34" t="s">
        <v>56</v>
      </c>
      <c r="B225" s="277" t="s">
        <v>507</v>
      </c>
      <c r="C225" s="130" t="s">
        <v>508</v>
      </c>
      <c r="D225" s="76" t="s">
        <v>509</v>
      </c>
      <c r="E225" s="270">
        <v>2543</v>
      </c>
      <c r="F225" s="270"/>
      <c r="G225" s="270">
        <v>477</v>
      </c>
      <c r="H225" s="270">
        <f t="shared" si="34"/>
        <v>2066</v>
      </c>
      <c r="I225" s="270">
        <v>2227</v>
      </c>
      <c r="J225" s="270">
        <v>477</v>
      </c>
      <c r="K225" s="270">
        <v>251</v>
      </c>
      <c r="L225" s="270">
        <v>2227</v>
      </c>
      <c r="M225" s="270">
        <v>477</v>
      </c>
      <c r="N225" s="270">
        <v>477</v>
      </c>
      <c r="O225" s="82"/>
      <c r="Q225" s="82"/>
      <c r="R225" s="82"/>
      <c r="S225" s="82"/>
      <c r="T225" s="82"/>
      <c r="U225" s="82"/>
      <c r="V225" s="82"/>
      <c r="W225" s="82"/>
      <c r="X225" s="82"/>
      <c r="Y225" s="82"/>
      <c r="Z225" s="82"/>
    </row>
    <row r="226" spans="1:26" s="83" customFormat="1" ht="16.5" hidden="1">
      <c r="A226" s="34" t="s">
        <v>57</v>
      </c>
      <c r="B226" s="269" t="s">
        <v>510</v>
      </c>
      <c r="C226" s="76">
        <v>2019</v>
      </c>
      <c r="D226" s="76"/>
      <c r="E226" s="270">
        <v>152</v>
      </c>
      <c r="F226" s="270"/>
      <c r="G226" s="270">
        <v>152</v>
      </c>
      <c r="H226" s="270">
        <f t="shared" si="34"/>
        <v>0</v>
      </c>
      <c r="I226" s="270">
        <v>152</v>
      </c>
      <c r="J226" s="270">
        <v>152</v>
      </c>
      <c r="K226" s="270"/>
      <c r="L226" s="270">
        <v>152</v>
      </c>
      <c r="M226" s="270">
        <v>152</v>
      </c>
      <c r="N226" s="270">
        <v>152</v>
      </c>
      <c r="O226" s="82"/>
      <c r="Q226" s="82"/>
      <c r="R226" s="82"/>
      <c r="S226" s="82"/>
      <c r="T226" s="82"/>
      <c r="U226" s="82"/>
      <c r="V226" s="82"/>
      <c r="W226" s="82"/>
      <c r="X226" s="82"/>
      <c r="Y226" s="82"/>
      <c r="Z226" s="82"/>
    </row>
    <row r="227" spans="1:26" s="83" customFormat="1" ht="49.5" hidden="1">
      <c r="A227" s="34" t="s">
        <v>58</v>
      </c>
      <c r="B227" s="58" t="s">
        <v>511</v>
      </c>
      <c r="C227" s="76">
        <v>2019</v>
      </c>
      <c r="D227" s="76"/>
      <c r="E227" s="270">
        <v>398</v>
      </c>
      <c r="F227" s="270"/>
      <c r="G227" s="270">
        <v>389</v>
      </c>
      <c r="H227" s="270">
        <f t="shared" si="34"/>
        <v>9</v>
      </c>
      <c r="I227" s="270">
        <v>389</v>
      </c>
      <c r="J227" s="270">
        <v>389</v>
      </c>
      <c r="K227" s="270">
        <v>389</v>
      </c>
      <c r="L227" s="270">
        <v>389</v>
      </c>
      <c r="M227" s="270">
        <v>389</v>
      </c>
      <c r="N227" s="270">
        <v>389</v>
      </c>
      <c r="O227" s="82"/>
      <c r="Q227" s="82"/>
      <c r="R227" s="82"/>
      <c r="S227" s="82"/>
      <c r="T227" s="82"/>
      <c r="U227" s="82"/>
      <c r="V227" s="82"/>
      <c r="W227" s="82"/>
      <c r="X227" s="82"/>
      <c r="Y227" s="82"/>
      <c r="Z227" s="82"/>
    </row>
    <row r="228" spans="1:26" s="210" customFormat="1" ht="16.5" hidden="1">
      <c r="A228" s="246" t="s">
        <v>616</v>
      </c>
      <c r="B228" s="81" t="s">
        <v>543</v>
      </c>
      <c r="C228" s="247"/>
      <c r="D228" s="247"/>
      <c r="E228" s="37">
        <f t="shared" ref="E228:N228" si="35">E229+E234+E235</f>
        <v>24227.928</v>
      </c>
      <c r="F228" s="37">
        <f t="shared" si="35"/>
        <v>0</v>
      </c>
      <c r="G228" s="37">
        <f t="shared" si="35"/>
        <v>0</v>
      </c>
      <c r="H228" s="37">
        <f t="shared" si="35"/>
        <v>24228.7</v>
      </c>
      <c r="I228" s="37">
        <f t="shared" si="35"/>
        <v>22309</v>
      </c>
      <c r="J228" s="37">
        <f t="shared" si="35"/>
        <v>15974</v>
      </c>
      <c r="K228" s="37">
        <f t="shared" si="35"/>
        <v>22333</v>
      </c>
      <c r="L228" s="37">
        <f t="shared" si="35"/>
        <v>22333</v>
      </c>
      <c r="M228" s="37">
        <f t="shared" si="35"/>
        <v>14674</v>
      </c>
      <c r="N228" s="37">
        <f t="shared" si="35"/>
        <v>15974</v>
      </c>
      <c r="O228" s="211"/>
      <c r="Q228" s="211"/>
      <c r="R228" s="211"/>
      <c r="S228" s="211"/>
      <c r="T228" s="211"/>
      <c r="U228" s="211"/>
      <c r="V228" s="211"/>
      <c r="W228" s="211"/>
      <c r="X228" s="211"/>
      <c r="Y228" s="211"/>
      <c r="Z228" s="211"/>
    </row>
    <row r="229" spans="1:26" s="210" customFormat="1" ht="49.5" hidden="1">
      <c r="A229" s="246"/>
      <c r="B229" s="73" t="s">
        <v>379</v>
      </c>
      <c r="C229" s="247"/>
      <c r="D229" s="247"/>
      <c r="E229" s="37">
        <f>SUM(E230:E233)</f>
        <v>10193</v>
      </c>
      <c r="F229" s="37">
        <f t="shared" ref="F229:N229" si="36">SUM(F230:F233)</f>
        <v>0</v>
      </c>
      <c r="G229" s="37">
        <f t="shared" si="36"/>
        <v>0</v>
      </c>
      <c r="H229" s="37">
        <f t="shared" si="36"/>
        <v>10193</v>
      </c>
      <c r="I229" s="37">
        <f t="shared" si="36"/>
        <v>8970</v>
      </c>
      <c r="J229" s="37">
        <f t="shared" si="36"/>
        <v>3565</v>
      </c>
      <c r="K229" s="37">
        <f t="shared" si="36"/>
        <v>9125</v>
      </c>
      <c r="L229" s="37">
        <f t="shared" si="36"/>
        <v>9125</v>
      </c>
      <c r="M229" s="37">
        <f t="shared" si="36"/>
        <v>3565</v>
      </c>
      <c r="N229" s="37">
        <f t="shared" si="36"/>
        <v>3565</v>
      </c>
      <c r="O229" s="211"/>
      <c r="Q229" s="211"/>
      <c r="R229" s="211"/>
      <c r="S229" s="211"/>
      <c r="T229" s="211"/>
      <c r="U229" s="211"/>
      <c r="V229" s="211"/>
      <c r="W229" s="211"/>
      <c r="X229" s="211"/>
      <c r="Y229" s="211"/>
      <c r="Z229" s="211"/>
    </row>
    <row r="230" spans="1:26" s="83" customFormat="1" ht="49.5" hidden="1">
      <c r="A230" s="34" t="s">
        <v>21</v>
      </c>
      <c r="B230" s="42" t="s">
        <v>513</v>
      </c>
      <c r="C230" s="43" t="s">
        <v>514</v>
      </c>
      <c r="D230" s="44" t="s">
        <v>515</v>
      </c>
      <c r="E230" s="45">
        <v>4206</v>
      </c>
      <c r="F230" s="33"/>
      <c r="G230" s="33"/>
      <c r="H230" s="33">
        <v>4206</v>
      </c>
      <c r="I230" s="33">
        <v>3653</v>
      </c>
      <c r="J230" s="33">
        <v>1600</v>
      </c>
      <c r="K230" s="45">
        <v>3757</v>
      </c>
      <c r="L230" s="33">
        <v>3757</v>
      </c>
      <c r="M230" s="33">
        <v>1600</v>
      </c>
      <c r="N230" s="33">
        <v>1600</v>
      </c>
      <c r="O230" s="82"/>
      <c r="Q230" s="82"/>
      <c r="R230" s="82"/>
      <c r="S230" s="82"/>
      <c r="T230" s="82"/>
      <c r="U230" s="82"/>
      <c r="V230" s="82"/>
      <c r="W230" s="82"/>
      <c r="X230" s="82"/>
      <c r="Y230" s="82"/>
      <c r="Z230" s="82"/>
    </row>
    <row r="231" spans="1:26" s="83" customFormat="1" ht="49.5" hidden="1">
      <c r="A231" s="34" t="s">
        <v>28</v>
      </c>
      <c r="B231" s="42" t="s">
        <v>516</v>
      </c>
      <c r="C231" s="43" t="s">
        <v>517</v>
      </c>
      <c r="D231" s="44" t="s">
        <v>518</v>
      </c>
      <c r="E231" s="45">
        <v>920</v>
      </c>
      <c r="F231" s="33"/>
      <c r="G231" s="33"/>
      <c r="H231" s="33">
        <v>920</v>
      </c>
      <c r="I231" s="33">
        <v>760</v>
      </c>
      <c r="J231" s="33">
        <v>465</v>
      </c>
      <c r="K231" s="33">
        <v>783</v>
      </c>
      <c r="L231" s="33">
        <v>783</v>
      </c>
      <c r="M231" s="33">
        <v>465</v>
      </c>
      <c r="N231" s="33">
        <v>465</v>
      </c>
      <c r="O231" s="82"/>
      <c r="Q231" s="82"/>
      <c r="R231" s="82"/>
      <c r="S231" s="82"/>
      <c r="T231" s="82"/>
      <c r="U231" s="82"/>
      <c r="V231" s="82"/>
      <c r="W231" s="82"/>
      <c r="X231" s="82">
        <v>70</v>
      </c>
      <c r="Y231" s="82"/>
      <c r="Z231" s="82"/>
    </row>
    <row r="232" spans="1:26" s="83" customFormat="1" ht="49.5">
      <c r="A232" s="34" t="s">
        <v>24</v>
      </c>
      <c r="B232" s="42" t="s">
        <v>519</v>
      </c>
      <c r="C232" s="43" t="s">
        <v>520</v>
      </c>
      <c r="D232" s="44" t="s">
        <v>521</v>
      </c>
      <c r="E232" s="45">
        <v>1257</v>
      </c>
      <c r="F232" s="33"/>
      <c r="G232" s="33"/>
      <c r="H232" s="33">
        <v>1257</v>
      </c>
      <c r="I232" s="33">
        <v>1140</v>
      </c>
      <c r="J232" s="33">
        <v>500</v>
      </c>
      <c r="K232" s="33">
        <v>1168</v>
      </c>
      <c r="L232" s="33">
        <v>1168</v>
      </c>
      <c r="M232" s="33">
        <v>500</v>
      </c>
      <c r="N232" s="33">
        <v>500</v>
      </c>
      <c r="O232" s="82"/>
      <c r="P232" s="83">
        <v>1</v>
      </c>
      <c r="Q232" s="82"/>
      <c r="R232" s="82"/>
      <c r="S232" s="82"/>
      <c r="T232" s="82"/>
      <c r="U232" s="82"/>
      <c r="V232" s="82"/>
      <c r="W232" s="82"/>
      <c r="X232" s="82"/>
      <c r="Y232" s="82"/>
      <c r="Z232" s="82"/>
    </row>
    <row r="233" spans="1:26" s="83" customFormat="1" ht="33" hidden="1">
      <c r="A233" s="34" t="s">
        <v>25</v>
      </c>
      <c r="B233" s="42" t="s">
        <v>522</v>
      </c>
      <c r="C233" s="43" t="s">
        <v>523</v>
      </c>
      <c r="D233" s="44" t="s">
        <v>524</v>
      </c>
      <c r="E233" s="45">
        <v>3810</v>
      </c>
      <c r="F233" s="33"/>
      <c r="G233" s="33"/>
      <c r="H233" s="33">
        <v>3810</v>
      </c>
      <c r="I233" s="33">
        <v>3417</v>
      </c>
      <c r="J233" s="33">
        <v>1000</v>
      </c>
      <c r="K233" s="33">
        <v>3417</v>
      </c>
      <c r="L233" s="33">
        <v>3417</v>
      </c>
      <c r="M233" s="33">
        <v>1000</v>
      </c>
      <c r="N233" s="33">
        <v>1000</v>
      </c>
      <c r="O233" s="82"/>
      <c r="Q233" s="82"/>
      <c r="R233" s="82"/>
      <c r="S233" s="82"/>
      <c r="T233" s="82"/>
      <c r="U233" s="82"/>
      <c r="V233" s="82"/>
      <c r="W233" s="82"/>
      <c r="X233" s="82"/>
      <c r="Y233" s="82"/>
      <c r="Z233" s="82"/>
    </row>
    <row r="234" spans="1:26" s="210" customFormat="1" ht="33" hidden="1">
      <c r="A234" s="246"/>
      <c r="B234" s="22" t="s">
        <v>141</v>
      </c>
      <c r="C234" s="23"/>
      <c r="D234" s="24"/>
      <c r="E234" s="25"/>
      <c r="F234" s="25"/>
      <c r="G234" s="25"/>
      <c r="H234" s="25"/>
      <c r="I234" s="25"/>
      <c r="J234" s="25"/>
      <c r="K234" s="25"/>
      <c r="L234" s="25"/>
      <c r="M234" s="25"/>
      <c r="N234" s="25"/>
      <c r="O234" s="211"/>
      <c r="Q234" s="211"/>
      <c r="R234" s="211"/>
      <c r="S234" s="211"/>
      <c r="T234" s="211"/>
      <c r="U234" s="211"/>
      <c r="V234" s="211"/>
      <c r="W234" s="211"/>
      <c r="X234" s="211"/>
      <c r="Y234" s="211"/>
      <c r="Z234" s="211"/>
    </row>
    <row r="235" spans="1:26" s="210" customFormat="1" ht="33" hidden="1">
      <c r="A235" s="246"/>
      <c r="B235" s="22" t="s">
        <v>335</v>
      </c>
      <c r="C235" s="23"/>
      <c r="D235" s="24"/>
      <c r="E235" s="25">
        <f>SUM(E236:E245)</f>
        <v>14034.928</v>
      </c>
      <c r="F235" s="25">
        <f t="shared" ref="F235:O235" si="37">SUM(F236:F245)</f>
        <v>0</v>
      </c>
      <c r="G235" s="25">
        <f t="shared" si="37"/>
        <v>0</v>
      </c>
      <c r="H235" s="25">
        <f t="shared" si="37"/>
        <v>14035.7</v>
      </c>
      <c r="I235" s="25">
        <f t="shared" si="37"/>
        <v>13339</v>
      </c>
      <c r="J235" s="25">
        <f t="shared" si="37"/>
        <v>12409</v>
      </c>
      <c r="K235" s="25">
        <f t="shared" si="37"/>
        <v>13208</v>
      </c>
      <c r="L235" s="25">
        <f t="shared" si="37"/>
        <v>13208</v>
      </c>
      <c r="M235" s="25">
        <f t="shared" si="37"/>
        <v>11109</v>
      </c>
      <c r="N235" s="25">
        <f t="shared" si="37"/>
        <v>12409</v>
      </c>
      <c r="O235" s="25">
        <f t="shared" si="37"/>
        <v>0</v>
      </c>
      <c r="Q235" s="211"/>
      <c r="R235" s="211"/>
      <c r="S235" s="211"/>
      <c r="T235" s="211"/>
      <c r="U235" s="211"/>
      <c r="V235" s="211"/>
      <c r="W235" s="211"/>
      <c r="X235" s="211"/>
      <c r="Y235" s="211"/>
      <c r="Z235" s="211"/>
    </row>
    <row r="236" spans="1:26" s="83" customFormat="1" ht="66">
      <c r="A236" s="34" t="s">
        <v>21</v>
      </c>
      <c r="B236" s="75" t="s">
        <v>525</v>
      </c>
      <c r="C236" s="46" t="s">
        <v>526</v>
      </c>
      <c r="D236" s="47" t="s">
        <v>527</v>
      </c>
      <c r="E236" s="48">
        <v>2254.6999999999998</v>
      </c>
      <c r="F236" s="33"/>
      <c r="G236" s="33"/>
      <c r="H236" s="33">
        <f>E236</f>
        <v>2254.6999999999998</v>
      </c>
      <c r="I236" s="49">
        <v>2124</v>
      </c>
      <c r="J236" s="33">
        <v>900</v>
      </c>
      <c r="K236" s="33">
        <v>2131</v>
      </c>
      <c r="L236" s="33">
        <v>2131</v>
      </c>
      <c r="M236" s="33">
        <v>900</v>
      </c>
      <c r="N236" s="33">
        <v>900</v>
      </c>
      <c r="O236" s="82"/>
      <c r="P236" s="83">
        <v>1</v>
      </c>
      <c r="Q236" s="82"/>
      <c r="R236" s="82"/>
      <c r="S236" s="82"/>
      <c r="T236" s="82"/>
      <c r="U236" s="82"/>
      <c r="V236" s="82"/>
      <c r="W236" s="82"/>
      <c r="X236" s="82">
        <v>600</v>
      </c>
      <c r="Y236" s="82"/>
      <c r="Z236" s="82"/>
    </row>
    <row r="237" spans="1:26" s="83" customFormat="1" ht="33" hidden="1">
      <c r="A237" s="34"/>
      <c r="B237" s="75" t="s">
        <v>767</v>
      </c>
      <c r="C237" s="46"/>
      <c r="D237" s="47"/>
      <c r="E237" s="48"/>
      <c r="F237" s="33"/>
      <c r="G237" s="33"/>
      <c r="H237" s="33"/>
      <c r="I237" s="49"/>
      <c r="J237" s="33">
        <v>430</v>
      </c>
      <c r="K237" s="33"/>
      <c r="L237" s="33"/>
      <c r="M237" s="33">
        <v>430</v>
      </c>
      <c r="N237" s="33">
        <v>430</v>
      </c>
      <c r="O237" s="82"/>
      <c r="Q237" s="82"/>
      <c r="R237" s="82"/>
      <c r="S237" s="82"/>
      <c r="T237" s="82"/>
      <c r="U237" s="82"/>
      <c r="V237" s="82"/>
      <c r="W237" s="82"/>
      <c r="X237" s="82">
        <f>80+350</f>
        <v>430</v>
      </c>
      <c r="Y237" s="82"/>
      <c r="Z237" s="82"/>
    </row>
    <row r="238" spans="1:26" s="83" customFormat="1" ht="49.5" hidden="1">
      <c r="A238" s="34"/>
      <c r="B238" s="75" t="s">
        <v>774</v>
      </c>
      <c r="C238" s="46"/>
      <c r="D238" s="47"/>
      <c r="E238" s="48"/>
      <c r="F238" s="33"/>
      <c r="G238" s="33"/>
      <c r="H238" s="33"/>
      <c r="I238" s="49"/>
      <c r="J238" s="33">
        <v>800</v>
      </c>
      <c r="K238" s="33"/>
      <c r="L238" s="33"/>
      <c r="M238" s="33"/>
      <c r="N238" s="33">
        <v>800</v>
      </c>
      <c r="O238" s="82"/>
      <c r="Q238" s="82"/>
      <c r="R238" s="82"/>
      <c r="S238" s="82"/>
      <c r="T238" s="82"/>
      <c r="U238" s="82"/>
      <c r="V238" s="82"/>
      <c r="W238" s="82"/>
      <c r="X238" s="82">
        <v>800</v>
      </c>
      <c r="Y238" s="82"/>
      <c r="Z238" s="82"/>
    </row>
    <row r="239" spans="1:26" s="83" customFormat="1" ht="33" hidden="1">
      <c r="A239" s="34"/>
      <c r="B239" s="75" t="s">
        <v>775</v>
      </c>
      <c r="C239" s="46"/>
      <c r="D239" s="47"/>
      <c r="E239" s="48"/>
      <c r="F239" s="33"/>
      <c r="G239" s="33"/>
      <c r="H239" s="33"/>
      <c r="I239" s="49"/>
      <c r="J239" s="33">
        <v>500</v>
      </c>
      <c r="K239" s="33"/>
      <c r="L239" s="33"/>
      <c r="M239" s="33"/>
      <c r="N239" s="33">
        <v>500</v>
      </c>
      <c r="O239" s="82"/>
      <c r="Q239" s="82"/>
      <c r="R239" s="82"/>
      <c r="S239" s="82"/>
      <c r="T239" s="82"/>
      <c r="U239" s="82"/>
      <c r="V239" s="82"/>
      <c r="W239" s="82"/>
      <c r="X239" s="82"/>
      <c r="Y239" s="82"/>
      <c r="Z239" s="82"/>
    </row>
    <row r="240" spans="1:26" s="83" customFormat="1" ht="49.5" hidden="1">
      <c r="A240" s="34" t="s">
        <v>28</v>
      </c>
      <c r="B240" s="42" t="s">
        <v>528</v>
      </c>
      <c r="C240" s="50">
        <v>2017</v>
      </c>
      <c r="D240" s="44" t="s">
        <v>529</v>
      </c>
      <c r="E240" s="45">
        <v>1080.7280000000001</v>
      </c>
      <c r="F240" s="33"/>
      <c r="G240" s="33"/>
      <c r="H240" s="33">
        <v>1081</v>
      </c>
      <c r="I240" s="50">
        <v>960</v>
      </c>
      <c r="J240" s="33">
        <v>500</v>
      </c>
      <c r="K240" s="33">
        <v>960</v>
      </c>
      <c r="L240" s="33">
        <v>960</v>
      </c>
      <c r="M240" s="33">
        <v>500</v>
      </c>
      <c r="N240" s="33">
        <v>500</v>
      </c>
      <c r="O240" s="82"/>
      <c r="Q240" s="82"/>
      <c r="R240" s="82"/>
      <c r="S240" s="82"/>
      <c r="T240" s="82"/>
      <c r="U240" s="82"/>
      <c r="V240" s="82"/>
      <c r="W240" s="82"/>
      <c r="X240" s="82"/>
      <c r="Y240" s="82"/>
      <c r="Z240" s="82"/>
    </row>
    <row r="241" spans="1:26" s="83" customFormat="1" ht="49.5">
      <c r="A241" s="34" t="s">
        <v>24</v>
      </c>
      <c r="B241" s="42" t="s">
        <v>530</v>
      </c>
      <c r="C241" s="47" t="s">
        <v>531</v>
      </c>
      <c r="D241" s="47" t="s">
        <v>532</v>
      </c>
      <c r="E241" s="48">
        <v>747.5</v>
      </c>
      <c r="F241" s="33"/>
      <c r="G241" s="33"/>
      <c r="H241" s="33">
        <v>748</v>
      </c>
      <c r="I241" s="33">
        <v>670</v>
      </c>
      <c r="J241" s="33">
        <v>500</v>
      </c>
      <c r="K241" s="33">
        <v>690</v>
      </c>
      <c r="L241" s="33">
        <v>690</v>
      </c>
      <c r="M241" s="33">
        <v>500</v>
      </c>
      <c r="N241" s="33">
        <v>500</v>
      </c>
      <c r="O241" s="82"/>
      <c r="P241" s="83">
        <v>1</v>
      </c>
      <c r="Q241" s="82"/>
      <c r="R241" s="82"/>
      <c r="S241" s="82"/>
      <c r="T241" s="82"/>
      <c r="U241" s="82"/>
      <c r="V241" s="82"/>
      <c r="W241" s="82"/>
      <c r="X241" s="82"/>
      <c r="Y241" s="82"/>
      <c r="Z241" s="82"/>
    </row>
    <row r="242" spans="1:26" s="83" customFormat="1" ht="66" hidden="1">
      <c r="A242" s="34" t="s">
        <v>25</v>
      </c>
      <c r="B242" s="58" t="s">
        <v>804</v>
      </c>
      <c r="C242" s="46" t="s">
        <v>533</v>
      </c>
      <c r="D242" s="46" t="s">
        <v>534</v>
      </c>
      <c r="E242" s="54">
        <v>5609</v>
      </c>
      <c r="F242" s="33"/>
      <c r="G242" s="33"/>
      <c r="H242" s="33">
        <v>5609</v>
      </c>
      <c r="I242" s="33">
        <v>5529</v>
      </c>
      <c r="J242" s="33">
        <v>5229</v>
      </c>
      <c r="K242" s="33">
        <v>5306</v>
      </c>
      <c r="L242" s="33">
        <v>5306</v>
      </c>
      <c r="M242" s="33">
        <v>5229</v>
      </c>
      <c r="N242" s="33">
        <v>5229</v>
      </c>
      <c r="O242" s="82"/>
      <c r="Q242" s="82"/>
      <c r="R242" s="82"/>
      <c r="S242" s="82"/>
      <c r="T242" s="82"/>
      <c r="U242" s="82"/>
      <c r="V242" s="82"/>
      <c r="W242" s="82">
        <v>1500</v>
      </c>
      <c r="X242" s="82">
        <v>1500</v>
      </c>
      <c r="Y242" s="82"/>
      <c r="Z242" s="82"/>
    </row>
    <row r="243" spans="1:26" s="83" customFormat="1" ht="66" hidden="1">
      <c r="A243" s="34" t="s">
        <v>26</v>
      </c>
      <c r="B243" s="58" t="s">
        <v>535</v>
      </c>
      <c r="C243" s="46" t="s">
        <v>533</v>
      </c>
      <c r="D243" s="46" t="s">
        <v>536</v>
      </c>
      <c r="E243" s="54">
        <v>2298</v>
      </c>
      <c r="F243" s="33"/>
      <c r="G243" s="33"/>
      <c r="H243" s="33">
        <v>2298</v>
      </c>
      <c r="I243" s="33">
        <v>2011</v>
      </c>
      <c r="J243" s="33">
        <v>2000</v>
      </c>
      <c r="K243" s="33">
        <v>2076</v>
      </c>
      <c r="L243" s="33">
        <v>2076</v>
      </c>
      <c r="M243" s="33">
        <v>2000</v>
      </c>
      <c r="N243" s="33">
        <v>2000</v>
      </c>
      <c r="O243" s="82"/>
      <c r="Q243" s="82"/>
      <c r="R243" s="82"/>
      <c r="S243" s="82"/>
      <c r="T243" s="82"/>
      <c r="U243" s="82"/>
      <c r="V243" s="82"/>
      <c r="W243" s="82"/>
      <c r="X243" s="82"/>
      <c r="Y243" s="82"/>
      <c r="Z243" s="82"/>
    </row>
    <row r="244" spans="1:26" s="83" customFormat="1" ht="66" hidden="1">
      <c r="A244" s="34" t="s">
        <v>27</v>
      </c>
      <c r="B244" s="58" t="s">
        <v>537</v>
      </c>
      <c r="C244" s="46" t="s">
        <v>538</v>
      </c>
      <c r="D244" s="46" t="s">
        <v>539</v>
      </c>
      <c r="E244" s="54">
        <v>1034</v>
      </c>
      <c r="F244" s="33"/>
      <c r="G244" s="33"/>
      <c r="H244" s="33">
        <v>1034</v>
      </c>
      <c r="I244" s="33">
        <v>1034</v>
      </c>
      <c r="J244" s="33">
        <v>850</v>
      </c>
      <c r="K244" s="33">
        <v>1034</v>
      </c>
      <c r="L244" s="33">
        <v>1034</v>
      </c>
      <c r="M244" s="33">
        <v>850</v>
      </c>
      <c r="N244" s="33">
        <v>850</v>
      </c>
      <c r="O244" s="82"/>
      <c r="Q244" s="82"/>
      <c r="R244" s="82"/>
      <c r="S244" s="82"/>
      <c r="T244" s="82"/>
      <c r="U244" s="82"/>
      <c r="V244" s="82"/>
      <c r="W244" s="82"/>
      <c r="X244" s="82"/>
      <c r="Y244" s="82"/>
      <c r="Z244" s="82"/>
    </row>
    <row r="245" spans="1:26" s="83" customFormat="1" ht="66" hidden="1">
      <c r="A245" s="34" t="s">
        <v>47</v>
      </c>
      <c r="B245" s="58" t="s">
        <v>540</v>
      </c>
      <c r="C245" s="46" t="s">
        <v>541</v>
      </c>
      <c r="D245" s="46" t="s">
        <v>542</v>
      </c>
      <c r="E245" s="54">
        <v>1011</v>
      </c>
      <c r="F245" s="33"/>
      <c r="G245" s="33"/>
      <c r="H245" s="33">
        <v>1011</v>
      </c>
      <c r="I245" s="33">
        <v>1011</v>
      </c>
      <c r="J245" s="33">
        <v>700</v>
      </c>
      <c r="K245" s="33">
        <v>1011</v>
      </c>
      <c r="L245" s="33">
        <v>1011</v>
      </c>
      <c r="M245" s="33">
        <v>700</v>
      </c>
      <c r="N245" s="33">
        <v>700</v>
      </c>
      <c r="O245" s="82"/>
      <c r="Q245" s="82"/>
      <c r="R245" s="82"/>
      <c r="S245" s="82"/>
      <c r="T245" s="82"/>
      <c r="U245" s="82"/>
      <c r="V245" s="82"/>
      <c r="W245" s="82"/>
      <c r="X245" s="82"/>
      <c r="Y245" s="82"/>
      <c r="Z245" s="82"/>
    </row>
    <row r="246" spans="1:26" s="210" customFormat="1" ht="16.5" hidden="1">
      <c r="A246" s="246" t="s">
        <v>617</v>
      </c>
      <c r="B246" s="22" t="s">
        <v>607</v>
      </c>
      <c r="C246" s="51"/>
      <c r="D246" s="51"/>
      <c r="E246" s="56">
        <f>E247+E255</f>
        <v>43223.661999999989</v>
      </c>
      <c r="F246" s="56">
        <f t="shared" ref="F246:N246" si="38">F247+F255</f>
        <v>0</v>
      </c>
      <c r="G246" s="56">
        <f t="shared" si="38"/>
        <v>15708.091000000002</v>
      </c>
      <c r="H246" s="56">
        <f t="shared" si="38"/>
        <v>0</v>
      </c>
      <c r="I246" s="56">
        <f t="shared" si="38"/>
        <v>37102.149000000005</v>
      </c>
      <c r="J246" s="56">
        <f t="shared" si="38"/>
        <v>14948.091000000002</v>
      </c>
      <c r="K246" s="56">
        <f t="shared" si="38"/>
        <v>37658.212</v>
      </c>
      <c r="L246" s="56">
        <f t="shared" si="38"/>
        <v>37102.149000000005</v>
      </c>
      <c r="M246" s="56">
        <f t="shared" si="38"/>
        <v>14768.091000000002</v>
      </c>
      <c r="N246" s="56">
        <f t="shared" si="38"/>
        <v>14948.091000000002</v>
      </c>
      <c r="O246" s="238"/>
      <c r="Q246" s="211"/>
      <c r="R246" s="211"/>
      <c r="S246" s="211"/>
      <c r="T246" s="211"/>
      <c r="U246" s="211"/>
      <c r="V246" s="211"/>
      <c r="W246" s="211"/>
      <c r="X246" s="211"/>
      <c r="Y246" s="211"/>
      <c r="Z246" s="211"/>
    </row>
    <row r="247" spans="1:26" s="210" customFormat="1" ht="49.5" hidden="1">
      <c r="A247" s="246"/>
      <c r="B247" s="22" t="s">
        <v>379</v>
      </c>
      <c r="C247" s="51"/>
      <c r="D247" s="51"/>
      <c r="E247" s="51">
        <f>SUM(E248:E253)</f>
        <v>6839.9179999999997</v>
      </c>
      <c r="F247" s="52">
        <f t="shared" ref="F247:N247" si="39">SUM(F248:F253)</f>
        <v>0</v>
      </c>
      <c r="G247" s="52">
        <f t="shared" si="39"/>
        <v>1186</v>
      </c>
      <c r="H247" s="52">
        <f t="shared" si="39"/>
        <v>0</v>
      </c>
      <c r="I247" s="52">
        <f t="shared" si="39"/>
        <v>6124.4560000000001</v>
      </c>
      <c r="J247" s="52">
        <f t="shared" si="39"/>
        <v>1186</v>
      </c>
      <c r="K247" s="52">
        <f t="shared" si="39"/>
        <v>6124.4560000000001</v>
      </c>
      <c r="L247" s="52">
        <f t="shared" si="39"/>
        <v>6124.4560000000001</v>
      </c>
      <c r="M247" s="52">
        <f t="shared" si="39"/>
        <v>1006</v>
      </c>
      <c r="N247" s="52">
        <f t="shared" si="39"/>
        <v>1186</v>
      </c>
      <c r="O247" s="238"/>
      <c r="Q247" s="211"/>
      <c r="R247" s="211"/>
      <c r="S247" s="211"/>
      <c r="T247" s="211"/>
      <c r="U247" s="211"/>
      <c r="V247" s="211"/>
      <c r="W247" s="211"/>
      <c r="X247" s="211"/>
      <c r="Y247" s="211"/>
      <c r="Z247" s="211"/>
    </row>
    <row r="248" spans="1:26" s="210" customFormat="1" ht="49.5">
      <c r="A248" s="34" t="s">
        <v>21</v>
      </c>
      <c r="B248" s="42" t="s">
        <v>544</v>
      </c>
      <c r="C248" s="53" t="s">
        <v>545</v>
      </c>
      <c r="D248" s="53" t="s">
        <v>546</v>
      </c>
      <c r="E248" s="53">
        <v>532</v>
      </c>
      <c r="F248" s="54"/>
      <c r="G248" s="54">
        <v>100</v>
      </c>
      <c r="H248" s="54"/>
      <c r="I248" s="54">
        <v>460</v>
      </c>
      <c r="J248" s="54">
        <v>100</v>
      </c>
      <c r="K248" s="54">
        <v>460</v>
      </c>
      <c r="L248" s="54">
        <f t="shared" ref="L248:L253" si="40">K248</f>
        <v>460</v>
      </c>
      <c r="M248" s="54">
        <f>G248</f>
        <v>100</v>
      </c>
      <c r="N248" s="54">
        <f t="shared" ref="N248:N253" si="41">G248</f>
        <v>100</v>
      </c>
      <c r="O248" s="238"/>
      <c r="P248" s="210">
        <v>1</v>
      </c>
      <c r="Q248" s="211"/>
      <c r="R248" s="211"/>
      <c r="S248" s="211"/>
      <c r="T248" s="211"/>
      <c r="U248" s="211"/>
      <c r="V248" s="211"/>
      <c r="W248" s="211"/>
      <c r="X248" s="211"/>
      <c r="Y248" s="211"/>
      <c r="Z248" s="211"/>
    </row>
    <row r="249" spans="1:26" s="210" customFormat="1" ht="33">
      <c r="A249" s="34" t="s">
        <v>28</v>
      </c>
      <c r="B249" s="42" t="s">
        <v>547</v>
      </c>
      <c r="C249" s="53" t="s">
        <v>548</v>
      </c>
      <c r="D249" s="53" t="s">
        <v>549</v>
      </c>
      <c r="E249" s="53">
        <v>1235</v>
      </c>
      <c r="F249" s="54"/>
      <c r="G249" s="54">
        <v>406</v>
      </c>
      <c r="H249" s="54"/>
      <c r="I249" s="54">
        <v>1064.873</v>
      </c>
      <c r="J249" s="54">
        <v>406</v>
      </c>
      <c r="K249" s="54">
        <v>1064.873</v>
      </c>
      <c r="L249" s="54">
        <f t="shared" si="40"/>
        <v>1064.873</v>
      </c>
      <c r="M249" s="54">
        <f>G249</f>
        <v>406</v>
      </c>
      <c r="N249" s="54">
        <f t="shared" si="41"/>
        <v>406</v>
      </c>
      <c r="O249" s="238"/>
      <c r="P249" s="210">
        <v>1</v>
      </c>
      <c r="Q249" s="211"/>
      <c r="R249" s="211"/>
      <c r="S249" s="211"/>
      <c r="T249" s="211"/>
      <c r="U249" s="211"/>
      <c r="V249" s="211"/>
      <c r="W249" s="211"/>
      <c r="X249" s="211"/>
      <c r="Y249" s="211"/>
      <c r="Z249" s="211"/>
    </row>
    <row r="250" spans="1:26" s="210" customFormat="1" ht="33" hidden="1">
      <c r="A250" s="34" t="s">
        <v>24</v>
      </c>
      <c r="B250" s="42" t="s">
        <v>550</v>
      </c>
      <c r="C250" s="53" t="s">
        <v>551</v>
      </c>
      <c r="D250" s="53" t="s">
        <v>552</v>
      </c>
      <c r="E250" s="53">
        <v>883.54</v>
      </c>
      <c r="F250" s="54"/>
      <c r="G250" s="54">
        <v>400</v>
      </c>
      <c r="H250" s="54"/>
      <c r="I250" s="54">
        <v>792.05399999999997</v>
      </c>
      <c r="J250" s="54">
        <v>400</v>
      </c>
      <c r="K250" s="54">
        <v>792.05399999999997</v>
      </c>
      <c r="L250" s="54">
        <f t="shared" si="40"/>
        <v>792.05399999999997</v>
      </c>
      <c r="M250" s="54">
        <f>G250</f>
        <v>400</v>
      </c>
      <c r="N250" s="54">
        <f t="shared" si="41"/>
        <v>400</v>
      </c>
      <c r="O250" s="238"/>
      <c r="Q250" s="211"/>
      <c r="R250" s="211"/>
      <c r="S250" s="211"/>
      <c r="T250" s="211"/>
      <c r="U250" s="211"/>
      <c r="V250" s="211"/>
      <c r="W250" s="211"/>
      <c r="X250" s="211"/>
      <c r="Y250" s="211"/>
      <c r="Z250" s="211"/>
    </row>
    <row r="251" spans="1:26" s="210" customFormat="1" ht="33" hidden="1">
      <c r="A251" s="34" t="s">
        <v>25</v>
      </c>
      <c r="B251" s="42" t="s">
        <v>553</v>
      </c>
      <c r="C251" s="53" t="s">
        <v>554</v>
      </c>
      <c r="D251" s="53" t="s">
        <v>555</v>
      </c>
      <c r="E251" s="53">
        <v>717.83399999999995</v>
      </c>
      <c r="F251" s="54"/>
      <c r="G251" s="54">
        <v>100</v>
      </c>
      <c r="H251" s="54"/>
      <c r="I251" s="54">
        <v>647.45600000000002</v>
      </c>
      <c r="J251" s="54">
        <v>100</v>
      </c>
      <c r="K251" s="54">
        <v>647.45600000000002</v>
      </c>
      <c r="L251" s="54">
        <f t="shared" si="40"/>
        <v>647.45600000000002</v>
      </c>
      <c r="M251" s="54">
        <f>G251</f>
        <v>100</v>
      </c>
      <c r="N251" s="54">
        <f t="shared" si="41"/>
        <v>100</v>
      </c>
      <c r="O251" s="238"/>
      <c r="Q251" s="211"/>
      <c r="R251" s="211"/>
      <c r="S251" s="211"/>
      <c r="T251" s="211"/>
      <c r="U251" s="211"/>
      <c r="V251" s="211"/>
      <c r="W251" s="211"/>
      <c r="X251" s="211">
        <v>90</v>
      </c>
      <c r="Y251" s="211"/>
      <c r="Z251" s="211"/>
    </row>
    <row r="252" spans="1:26" s="210" customFormat="1" ht="33" hidden="1">
      <c r="A252" s="34" t="s">
        <v>26</v>
      </c>
      <c r="B252" s="42" t="s">
        <v>556</v>
      </c>
      <c r="C252" s="53" t="s">
        <v>557</v>
      </c>
      <c r="D252" s="53" t="s">
        <v>558</v>
      </c>
      <c r="E252" s="53">
        <v>1105.347</v>
      </c>
      <c r="F252" s="54"/>
      <c r="G252" s="54">
        <v>60</v>
      </c>
      <c r="H252" s="54"/>
      <c r="I252" s="54">
        <v>984.69100000000003</v>
      </c>
      <c r="J252" s="54">
        <v>60</v>
      </c>
      <c r="K252" s="54">
        <v>984.69100000000003</v>
      </c>
      <c r="L252" s="54">
        <f t="shared" si="40"/>
        <v>984.69100000000003</v>
      </c>
      <c r="M252" s="54"/>
      <c r="N252" s="54">
        <f t="shared" si="41"/>
        <v>60</v>
      </c>
      <c r="O252" s="238"/>
      <c r="Q252" s="211"/>
      <c r="R252" s="211"/>
      <c r="S252" s="211"/>
      <c r="T252" s="211"/>
      <c r="U252" s="211"/>
      <c r="V252" s="211"/>
      <c r="W252" s="211"/>
      <c r="X252" s="211"/>
      <c r="Y252" s="211"/>
      <c r="Z252" s="211"/>
    </row>
    <row r="253" spans="1:26" s="210" customFormat="1" ht="33">
      <c r="A253" s="34" t="s">
        <v>27</v>
      </c>
      <c r="B253" s="42" t="s">
        <v>559</v>
      </c>
      <c r="C253" s="53" t="s">
        <v>560</v>
      </c>
      <c r="D253" s="53" t="s">
        <v>561</v>
      </c>
      <c r="E253" s="53">
        <v>2366.1970000000001</v>
      </c>
      <c r="F253" s="54"/>
      <c r="G253" s="54">
        <v>120</v>
      </c>
      <c r="H253" s="54"/>
      <c r="I253" s="54">
        <v>2175.3820000000001</v>
      </c>
      <c r="J253" s="54">
        <v>120</v>
      </c>
      <c r="K253" s="54">
        <v>2175.3820000000001</v>
      </c>
      <c r="L253" s="54">
        <f t="shared" si="40"/>
        <v>2175.3820000000001</v>
      </c>
      <c r="M253" s="54"/>
      <c r="N253" s="54">
        <f t="shared" si="41"/>
        <v>120</v>
      </c>
      <c r="O253" s="238"/>
      <c r="P253" s="210">
        <v>1</v>
      </c>
      <c r="Q253" s="211"/>
      <c r="R253" s="211"/>
      <c r="S253" s="211"/>
      <c r="T253" s="211"/>
      <c r="U253" s="211"/>
      <c r="V253" s="211"/>
      <c r="W253" s="211"/>
      <c r="X253" s="211">
        <v>10</v>
      </c>
      <c r="Y253" s="211"/>
      <c r="Z253" s="211"/>
    </row>
    <row r="254" spans="1:26" s="210" customFormat="1" ht="33" hidden="1">
      <c r="A254" s="246"/>
      <c r="B254" s="22" t="s">
        <v>562</v>
      </c>
      <c r="C254" s="51"/>
      <c r="D254" s="51"/>
      <c r="E254" s="51"/>
      <c r="F254" s="52"/>
      <c r="G254" s="52"/>
      <c r="H254" s="52"/>
      <c r="I254" s="52"/>
      <c r="J254" s="52"/>
      <c r="K254" s="52"/>
      <c r="L254" s="52"/>
      <c r="M254" s="52"/>
      <c r="N254" s="52"/>
      <c r="O254" s="238"/>
      <c r="Q254" s="211"/>
      <c r="R254" s="211"/>
      <c r="S254" s="211"/>
      <c r="T254" s="211"/>
      <c r="U254" s="211"/>
      <c r="V254" s="211"/>
      <c r="W254" s="211"/>
      <c r="X254" s="211"/>
      <c r="Y254" s="211"/>
      <c r="Z254" s="211"/>
    </row>
    <row r="255" spans="1:26" s="210" customFormat="1" ht="33" hidden="1">
      <c r="A255" s="246"/>
      <c r="B255" s="22" t="s">
        <v>335</v>
      </c>
      <c r="C255" s="51"/>
      <c r="D255" s="51"/>
      <c r="E255" s="51">
        <f>SUM(E256:E270)</f>
        <v>36383.743999999992</v>
      </c>
      <c r="F255" s="52">
        <f t="shared" ref="F255:N255" si="42">SUM(F256:F270)</f>
        <v>0</v>
      </c>
      <c r="G255" s="52">
        <f t="shared" si="42"/>
        <v>14522.091000000002</v>
      </c>
      <c r="H255" s="52">
        <f t="shared" si="42"/>
        <v>0</v>
      </c>
      <c r="I255" s="52">
        <f t="shared" si="42"/>
        <v>30977.693000000003</v>
      </c>
      <c r="J255" s="52">
        <f t="shared" si="42"/>
        <v>13762.091000000002</v>
      </c>
      <c r="K255" s="52">
        <f t="shared" si="42"/>
        <v>31533.755999999998</v>
      </c>
      <c r="L255" s="52">
        <f t="shared" si="42"/>
        <v>30977.693000000003</v>
      </c>
      <c r="M255" s="52">
        <f t="shared" si="42"/>
        <v>13762.091000000002</v>
      </c>
      <c r="N255" s="52">
        <f t="shared" si="42"/>
        <v>13762.091000000002</v>
      </c>
      <c r="O255" s="238"/>
      <c r="Q255" s="211"/>
      <c r="R255" s="211"/>
      <c r="S255" s="211"/>
      <c r="T255" s="211"/>
      <c r="U255" s="211"/>
      <c r="V255" s="211"/>
      <c r="W255" s="211"/>
      <c r="X255" s="211"/>
      <c r="Y255" s="211"/>
      <c r="Z255" s="211"/>
    </row>
    <row r="256" spans="1:26" s="210" customFormat="1" ht="33">
      <c r="A256" s="34" t="s">
        <v>21</v>
      </c>
      <c r="B256" s="42" t="s">
        <v>563</v>
      </c>
      <c r="C256" s="53" t="s">
        <v>564</v>
      </c>
      <c r="D256" s="53" t="s">
        <v>565</v>
      </c>
      <c r="E256" s="53">
        <v>2441</v>
      </c>
      <c r="F256" s="54"/>
      <c r="G256" s="54">
        <f>800+400+110</f>
        <v>1310</v>
      </c>
      <c r="H256" s="54"/>
      <c r="I256" s="54">
        <v>2196.9470000000001</v>
      </c>
      <c r="J256" s="54">
        <v>1310</v>
      </c>
      <c r="K256" s="54">
        <v>2196.9470000000001</v>
      </c>
      <c r="L256" s="54">
        <f>K256</f>
        <v>2196.9470000000001</v>
      </c>
      <c r="M256" s="54">
        <f>G256</f>
        <v>1310</v>
      </c>
      <c r="N256" s="54">
        <f>G256</f>
        <v>1310</v>
      </c>
      <c r="O256" s="238"/>
      <c r="P256" s="210">
        <v>1</v>
      </c>
      <c r="Q256" s="211"/>
      <c r="R256" s="211"/>
      <c r="S256" s="211"/>
      <c r="T256" s="211"/>
      <c r="U256" s="211"/>
      <c r="V256" s="211"/>
      <c r="W256" s="211"/>
      <c r="X256" s="211">
        <v>80</v>
      </c>
      <c r="Y256" s="211"/>
      <c r="Z256" s="211"/>
    </row>
    <row r="257" spans="1:257" s="210" customFormat="1" ht="49.5" hidden="1">
      <c r="A257" s="34" t="s">
        <v>28</v>
      </c>
      <c r="B257" s="42" t="s">
        <v>566</v>
      </c>
      <c r="C257" s="53" t="s">
        <v>567</v>
      </c>
      <c r="D257" s="53" t="s">
        <v>568</v>
      </c>
      <c r="E257" s="53">
        <v>2415.1529999999998</v>
      </c>
      <c r="F257" s="54"/>
      <c r="G257" s="54">
        <v>1932.0909999999999</v>
      </c>
      <c r="H257" s="54"/>
      <c r="I257" s="54">
        <v>1932.0909999999999</v>
      </c>
      <c r="J257" s="54">
        <v>1932.0909999999999</v>
      </c>
      <c r="K257" s="54">
        <v>2367.7959999999998</v>
      </c>
      <c r="L257" s="54">
        <f>G257</f>
        <v>1932.0909999999999</v>
      </c>
      <c r="M257" s="54">
        <f>G257</f>
        <v>1932.0909999999999</v>
      </c>
      <c r="N257" s="54">
        <f>M257</f>
        <v>1932.0909999999999</v>
      </c>
      <c r="O257" s="238"/>
      <c r="Q257" s="211"/>
      <c r="R257" s="211"/>
      <c r="S257" s="211"/>
      <c r="T257" s="211"/>
      <c r="U257" s="211"/>
      <c r="V257" s="211"/>
      <c r="W257" s="211"/>
      <c r="X257" s="211"/>
      <c r="Y257" s="211"/>
      <c r="Z257" s="211"/>
    </row>
    <row r="258" spans="1:257" s="210" customFormat="1" ht="33">
      <c r="A258" s="34" t="s">
        <v>24</v>
      </c>
      <c r="B258" s="42" t="s">
        <v>569</v>
      </c>
      <c r="C258" s="53" t="s">
        <v>570</v>
      </c>
      <c r="D258" s="53" t="s">
        <v>571</v>
      </c>
      <c r="E258" s="53">
        <v>3646.502</v>
      </c>
      <c r="F258" s="54"/>
      <c r="G258" s="54">
        <f>87.673+71.622</f>
        <v>159.29500000000002</v>
      </c>
      <c r="H258" s="54"/>
      <c r="I258" s="54">
        <v>3282.0549999999998</v>
      </c>
      <c r="J258" s="54">
        <v>159.29500000000002</v>
      </c>
      <c r="K258" s="54">
        <v>3402.4129999999996</v>
      </c>
      <c r="L258" s="54">
        <f>3082.055+200</f>
        <v>3282.0549999999998</v>
      </c>
      <c r="M258" s="54">
        <f>G258</f>
        <v>159.29500000000002</v>
      </c>
      <c r="N258" s="54">
        <f>G258</f>
        <v>159.29500000000002</v>
      </c>
      <c r="O258" s="238"/>
      <c r="P258" s="210">
        <v>1</v>
      </c>
      <c r="Q258" s="211"/>
      <c r="R258" s="211"/>
      <c r="S258" s="211"/>
      <c r="T258" s="211"/>
      <c r="U258" s="211"/>
      <c r="V258" s="211"/>
      <c r="W258" s="211"/>
      <c r="X258" s="211"/>
      <c r="Y258" s="211"/>
      <c r="Z258" s="211"/>
    </row>
    <row r="259" spans="1:257" s="210" customFormat="1" ht="66" hidden="1">
      <c r="A259" s="34" t="s">
        <v>25</v>
      </c>
      <c r="B259" s="58" t="s">
        <v>572</v>
      </c>
      <c r="C259" s="53" t="s">
        <v>573</v>
      </c>
      <c r="D259" s="53" t="s">
        <v>574</v>
      </c>
      <c r="E259" s="53">
        <v>3446.6080000000002</v>
      </c>
      <c r="F259" s="54"/>
      <c r="G259" s="54">
        <v>1007.343</v>
      </c>
      <c r="H259" s="54"/>
      <c r="I259" s="54">
        <v>3251.8839999999996</v>
      </c>
      <c r="J259" s="54">
        <v>1007.343</v>
      </c>
      <c r="K259" s="54">
        <v>3251.8839999999996</v>
      </c>
      <c r="L259" s="54">
        <f>K259</f>
        <v>3251.8839999999996</v>
      </c>
      <c r="M259" s="54">
        <f t="shared" ref="M259:M266" si="43">G259</f>
        <v>1007.343</v>
      </c>
      <c r="N259" s="54">
        <f t="shared" ref="N259:N266" si="44">G259</f>
        <v>1007.343</v>
      </c>
      <c r="O259" s="211"/>
      <c r="Q259" s="211"/>
      <c r="R259" s="211"/>
      <c r="S259" s="211"/>
      <c r="T259" s="211"/>
      <c r="U259" s="211"/>
      <c r="V259" s="211"/>
      <c r="W259" s="211"/>
      <c r="X259" s="211"/>
      <c r="Y259" s="211"/>
      <c r="Z259" s="211"/>
    </row>
    <row r="260" spans="1:257" s="210" customFormat="1" ht="49.5">
      <c r="A260" s="34" t="s">
        <v>26</v>
      </c>
      <c r="B260" s="42" t="s">
        <v>575</v>
      </c>
      <c r="C260" s="53" t="s">
        <v>576</v>
      </c>
      <c r="D260" s="53" t="s">
        <v>577</v>
      </c>
      <c r="E260" s="53">
        <v>2359.5940000000001</v>
      </c>
      <c r="F260" s="54"/>
      <c r="G260" s="54">
        <v>1162.2850000000001</v>
      </c>
      <c r="H260" s="54"/>
      <c r="I260" s="54">
        <v>2229.373</v>
      </c>
      <c r="J260" s="54">
        <v>1162.2850000000001</v>
      </c>
      <c r="K260" s="54">
        <v>2229.373</v>
      </c>
      <c r="L260" s="54">
        <f t="shared" ref="L260:L270" si="45">K260</f>
        <v>2229.373</v>
      </c>
      <c r="M260" s="54">
        <f t="shared" si="43"/>
        <v>1162.2850000000001</v>
      </c>
      <c r="N260" s="54">
        <f t="shared" si="44"/>
        <v>1162.2850000000001</v>
      </c>
      <c r="O260" s="238"/>
      <c r="P260" s="210">
        <v>1</v>
      </c>
      <c r="Q260" s="211"/>
      <c r="R260" s="211"/>
      <c r="S260" s="211"/>
      <c r="T260" s="211"/>
      <c r="U260" s="211"/>
      <c r="V260" s="211"/>
      <c r="W260" s="211"/>
      <c r="X260" s="211"/>
      <c r="Y260" s="211"/>
      <c r="Z260" s="211"/>
    </row>
    <row r="261" spans="1:257" s="210" customFormat="1" ht="49.5">
      <c r="A261" s="34" t="s">
        <v>27</v>
      </c>
      <c r="B261" s="58" t="s">
        <v>578</v>
      </c>
      <c r="C261" s="53" t="s">
        <v>576</v>
      </c>
      <c r="D261" s="53" t="s">
        <v>579</v>
      </c>
      <c r="E261" s="53">
        <v>2262.1590000000001</v>
      </c>
      <c r="F261" s="54"/>
      <c r="G261" s="54">
        <v>1470.069</v>
      </c>
      <c r="H261" s="54"/>
      <c r="I261" s="54">
        <v>2140.105</v>
      </c>
      <c r="J261" s="54">
        <v>1470.069</v>
      </c>
      <c r="K261" s="54">
        <v>2140.105</v>
      </c>
      <c r="L261" s="54">
        <f t="shared" si="45"/>
        <v>2140.105</v>
      </c>
      <c r="M261" s="54">
        <f t="shared" si="43"/>
        <v>1470.069</v>
      </c>
      <c r="N261" s="54">
        <f t="shared" si="44"/>
        <v>1470.069</v>
      </c>
      <c r="O261" s="211"/>
      <c r="P261" s="210">
        <v>1</v>
      </c>
      <c r="Q261" s="211"/>
      <c r="R261" s="211"/>
      <c r="S261" s="211"/>
      <c r="T261" s="211"/>
      <c r="U261" s="211"/>
      <c r="V261" s="211"/>
      <c r="W261" s="211"/>
      <c r="X261" s="211"/>
      <c r="Y261" s="211"/>
      <c r="Z261" s="211"/>
    </row>
    <row r="262" spans="1:257" s="210" customFormat="1" ht="33">
      <c r="A262" s="34" t="s">
        <v>47</v>
      </c>
      <c r="B262" s="58" t="s">
        <v>580</v>
      </c>
      <c r="C262" s="53" t="s">
        <v>581</v>
      </c>
      <c r="D262" s="53" t="s">
        <v>582</v>
      </c>
      <c r="E262" s="53">
        <v>4552.8370000000004</v>
      </c>
      <c r="F262" s="54"/>
      <c r="G262" s="54">
        <f>213.201+2141.365</f>
        <v>2354.5659999999998</v>
      </c>
      <c r="H262" s="54"/>
      <c r="I262" s="54">
        <v>4430</v>
      </c>
      <c r="J262" s="54">
        <v>2354.5659999999998</v>
      </c>
      <c r="K262" s="54">
        <v>4430</v>
      </c>
      <c r="L262" s="54">
        <f t="shared" si="45"/>
        <v>4430</v>
      </c>
      <c r="M262" s="54">
        <f t="shared" si="43"/>
        <v>2354.5659999999998</v>
      </c>
      <c r="N262" s="54">
        <f t="shared" si="44"/>
        <v>2354.5659999999998</v>
      </c>
      <c r="O262" s="211"/>
      <c r="P262" s="210">
        <v>1</v>
      </c>
      <c r="Q262" s="211"/>
      <c r="R262" s="211"/>
      <c r="S262" s="211"/>
      <c r="T262" s="211"/>
      <c r="U262" s="211"/>
      <c r="V262" s="211"/>
      <c r="W262" s="211"/>
      <c r="X262" s="211"/>
      <c r="Y262" s="211"/>
      <c r="Z262" s="211"/>
    </row>
    <row r="263" spans="1:257" s="210" customFormat="1" ht="33" hidden="1">
      <c r="A263" s="34" t="s">
        <v>49</v>
      </c>
      <c r="B263" s="58" t="s">
        <v>583</v>
      </c>
      <c r="C263" s="53" t="s">
        <v>584</v>
      </c>
      <c r="D263" s="53" t="s">
        <v>585</v>
      </c>
      <c r="E263" s="53">
        <v>924.06299999999999</v>
      </c>
      <c r="F263" s="54"/>
      <c r="G263" s="54">
        <f>370+22.271</f>
        <v>392.27100000000002</v>
      </c>
      <c r="H263" s="54"/>
      <c r="I263" s="54">
        <v>850</v>
      </c>
      <c r="J263" s="54">
        <v>392.27100000000002</v>
      </c>
      <c r="K263" s="54">
        <v>850</v>
      </c>
      <c r="L263" s="54">
        <f t="shared" si="45"/>
        <v>850</v>
      </c>
      <c r="M263" s="54">
        <f t="shared" si="43"/>
        <v>392.27100000000002</v>
      </c>
      <c r="N263" s="54">
        <f t="shared" si="44"/>
        <v>392.27100000000002</v>
      </c>
      <c r="O263" s="211"/>
      <c r="Q263" s="211"/>
      <c r="R263" s="211"/>
      <c r="S263" s="211"/>
      <c r="T263" s="211"/>
      <c r="U263" s="211"/>
      <c r="V263" s="211"/>
      <c r="W263" s="211"/>
      <c r="X263" s="211"/>
      <c r="Y263" s="211"/>
      <c r="Z263" s="211"/>
    </row>
    <row r="264" spans="1:257" s="210" customFormat="1" ht="66" hidden="1">
      <c r="A264" s="34" t="s">
        <v>50</v>
      </c>
      <c r="B264" s="58" t="s">
        <v>586</v>
      </c>
      <c r="C264" s="53" t="s">
        <v>587</v>
      </c>
      <c r="D264" s="53" t="s">
        <v>588</v>
      </c>
      <c r="E264" s="53">
        <v>621.30100000000004</v>
      </c>
      <c r="F264" s="54"/>
      <c r="G264" s="54">
        <v>15.78</v>
      </c>
      <c r="H264" s="54"/>
      <c r="I264" s="54">
        <v>546.93499999999995</v>
      </c>
      <c r="J264" s="54">
        <v>15.78</v>
      </c>
      <c r="K264" s="54">
        <v>546.93499999999995</v>
      </c>
      <c r="L264" s="54">
        <f t="shared" si="45"/>
        <v>546.93499999999995</v>
      </c>
      <c r="M264" s="54">
        <f t="shared" si="43"/>
        <v>15.78</v>
      </c>
      <c r="N264" s="54">
        <f t="shared" si="44"/>
        <v>15.78</v>
      </c>
      <c r="O264" s="211"/>
      <c r="Q264" s="211"/>
      <c r="R264" s="211"/>
      <c r="S264" s="211"/>
      <c r="T264" s="211"/>
      <c r="U264" s="211"/>
      <c r="V264" s="211"/>
      <c r="W264" s="211"/>
      <c r="X264" s="211"/>
      <c r="Y264" s="211"/>
      <c r="Z264" s="211"/>
    </row>
    <row r="265" spans="1:257" s="210" customFormat="1" ht="49.5" hidden="1">
      <c r="A265" s="34" t="s">
        <v>51</v>
      </c>
      <c r="B265" s="58" t="s">
        <v>589</v>
      </c>
      <c r="C265" s="53" t="s">
        <v>590</v>
      </c>
      <c r="D265" s="53" t="s">
        <v>591</v>
      </c>
      <c r="E265" s="53">
        <v>2979.076</v>
      </c>
      <c r="F265" s="54"/>
      <c r="G265" s="54">
        <v>1008.391</v>
      </c>
      <c r="H265" s="55"/>
      <c r="I265" s="54">
        <v>2850</v>
      </c>
      <c r="J265" s="54">
        <v>1008.391</v>
      </c>
      <c r="K265" s="54">
        <v>2850</v>
      </c>
      <c r="L265" s="54">
        <f t="shared" si="45"/>
        <v>2850</v>
      </c>
      <c r="M265" s="54">
        <f t="shared" si="43"/>
        <v>1008.391</v>
      </c>
      <c r="N265" s="54">
        <f t="shared" si="44"/>
        <v>1008.391</v>
      </c>
      <c r="O265" s="211"/>
      <c r="Q265" s="211"/>
      <c r="R265" s="211"/>
      <c r="S265" s="211"/>
      <c r="T265" s="211"/>
      <c r="U265" s="211"/>
      <c r="V265" s="211"/>
      <c r="W265" s="211"/>
      <c r="X265" s="211"/>
      <c r="Y265" s="211"/>
      <c r="Z265" s="211"/>
    </row>
    <row r="266" spans="1:257" s="210" customFormat="1" ht="66" hidden="1">
      <c r="A266" s="34" t="s">
        <v>53</v>
      </c>
      <c r="B266" s="58" t="s">
        <v>592</v>
      </c>
      <c r="C266" s="53" t="s">
        <v>593</v>
      </c>
      <c r="D266" s="53" t="s">
        <v>594</v>
      </c>
      <c r="E266" s="53">
        <v>898.17100000000005</v>
      </c>
      <c r="F266" s="54"/>
      <c r="G266" s="54">
        <v>660</v>
      </c>
      <c r="H266" s="54"/>
      <c r="I266" s="54">
        <v>808.303</v>
      </c>
      <c r="J266" s="54">
        <v>660</v>
      </c>
      <c r="K266" s="54">
        <v>808.303</v>
      </c>
      <c r="L266" s="54">
        <f t="shared" si="45"/>
        <v>808.303</v>
      </c>
      <c r="M266" s="54">
        <f t="shared" si="43"/>
        <v>660</v>
      </c>
      <c r="N266" s="54">
        <f t="shared" si="44"/>
        <v>660</v>
      </c>
      <c r="O266" s="211"/>
      <c r="Q266" s="211"/>
      <c r="R266" s="211"/>
      <c r="S266" s="211"/>
      <c r="T266" s="211"/>
      <c r="U266" s="211"/>
      <c r="V266" s="211"/>
      <c r="W266" s="211"/>
      <c r="X266" s="211"/>
      <c r="Y266" s="211"/>
      <c r="Z266" s="211"/>
    </row>
    <row r="267" spans="1:257" s="210" customFormat="1" ht="49.5" hidden="1">
      <c r="A267" s="34" t="s">
        <v>55</v>
      </c>
      <c r="B267" s="58" t="s">
        <v>595</v>
      </c>
      <c r="C267" s="53" t="s">
        <v>596</v>
      </c>
      <c r="D267" s="53" t="s">
        <v>597</v>
      </c>
      <c r="E267" s="53">
        <v>972.99800000000005</v>
      </c>
      <c r="F267" s="54"/>
      <c r="G267" s="54">
        <v>50</v>
      </c>
      <c r="H267" s="54"/>
      <c r="I267" s="54">
        <v>860</v>
      </c>
      <c r="J267" s="54">
        <v>50</v>
      </c>
      <c r="K267" s="54">
        <v>860</v>
      </c>
      <c r="L267" s="54">
        <f t="shared" si="45"/>
        <v>860</v>
      </c>
      <c r="M267" s="54">
        <v>50</v>
      </c>
      <c r="N267" s="54">
        <f>M267</f>
        <v>50</v>
      </c>
      <c r="O267" s="211"/>
      <c r="Q267" s="211"/>
      <c r="R267" s="211"/>
      <c r="S267" s="211"/>
      <c r="T267" s="211"/>
      <c r="U267" s="211"/>
      <c r="V267" s="211"/>
      <c r="W267" s="211"/>
      <c r="X267" s="211"/>
      <c r="Y267" s="211"/>
      <c r="Z267" s="211"/>
    </row>
    <row r="268" spans="1:257" s="210" customFormat="1" ht="49.5" hidden="1">
      <c r="A268" s="34" t="s">
        <v>56</v>
      </c>
      <c r="B268" s="58" t="s">
        <v>598</v>
      </c>
      <c r="C268" s="53" t="s">
        <v>599</v>
      </c>
      <c r="D268" s="53" t="s">
        <v>600</v>
      </c>
      <c r="E268" s="53">
        <v>4326.8429999999998</v>
      </c>
      <c r="F268" s="54"/>
      <c r="G268" s="54">
        <v>1200</v>
      </c>
      <c r="H268" s="54"/>
      <c r="I268" s="54">
        <v>2300</v>
      </c>
      <c r="J268" s="54">
        <v>990</v>
      </c>
      <c r="K268" s="54">
        <v>2300</v>
      </c>
      <c r="L268" s="54">
        <f t="shared" si="45"/>
        <v>2300</v>
      </c>
      <c r="M268" s="54">
        <v>990</v>
      </c>
      <c r="N268" s="54">
        <v>990</v>
      </c>
      <c r="O268" s="211"/>
      <c r="Q268" s="211"/>
      <c r="R268" s="211"/>
      <c r="S268" s="211"/>
      <c r="T268" s="211"/>
      <c r="U268" s="211"/>
      <c r="V268" s="211"/>
      <c r="W268" s="211"/>
      <c r="X268" s="211"/>
      <c r="Y268" s="211"/>
      <c r="Z268" s="211"/>
    </row>
    <row r="269" spans="1:257" s="210" customFormat="1" ht="49.5" hidden="1">
      <c r="A269" s="34" t="s">
        <v>57</v>
      </c>
      <c r="B269" s="58" t="s">
        <v>601</v>
      </c>
      <c r="C269" s="53" t="s">
        <v>602</v>
      </c>
      <c r="D269" s="53" t="s">
        <v>603</v>
      </c>
      <c r="E269" s="53">
        <v>2726.2179999999998</v>
      </c>
      <c r="F269" s="54"/>
      <c r="G269" s="54">
        <v>900</v>
      </c>
      <c r="H269" s="54"/>
      <c r="I269" s="54">
        <v>2000</v>
      </c>
      <c r="J269" s="54">
        <v>900</v>
      </c>
      <c r="K269" s="54">
        <v>2000</v>
      </c>
      <c r="L269" s="54">
        <f t="shared" si="45"/>
        <v>2000</v>
      </c>
      <c r="M269" s="54">
        <f>G269</f>
        <v>900</v>
      </c>
      <c r="N269" s="54">
        <f>G269</f>
        <v>900</v>
      </c>
      <c r="O269" s="211"/>
      <c r="Q269" s="211"/>
      <c r="R269" s="211"/>
      <c r="S269" s="211"/>
      <c r="T269" s="211"/>
      <c r="U269" s="211"/>
      <c r="V269" s="211"/>
      <c r="W269" s="211"/>
      <c r="X269" s="211"/>
      <c r="Y269" s="211"/>
      <c r="Z269" s="211"/>
    </row>
    <row r="270" spans="1:257" s="210" customFormat="1" ht="49.5" hidden="1">
      <c r="A270" s="34" t="s">
        <v>58</v>
      </c>
      <c r="B270" s="58" t="s">
        <v>604</v>
      </c>
      <c r="C270" s="53" t="s">
        <v>605</v>
      </c>
      <c r="D270" s="53" t="s">
        <v>606</v>
      </c>
      <c r="E270" s="53">
        <v>1811.221</v>
      </c>
      <c r="F270" s="54"/>
      <c r="G270" s="54">
        <v>900</v>
      </c>
      <c r="H270" s="54"/>
      <c r="I270" s="54">
        <v>1300</v>
      </c>
      <c r="J270" s="54">
        <v>350</v>
      </c>
      <c r="K270" s="54">
        <v>1300</v>
      </c>
      <c r="L270" s="54">
        <f t="shared" si="45"/>
        <v>1300</v>
      </c>
      <c r="M270" s="54">
        <v>350</v>
      </c>
      <c r="N270" s="54">
        <v>350</v>
      </c>
      <c r="O270" s="211"/>
      <c r="Q270" s="211"/>
      <c r="R270" s="211"/>
      <c r="S270" s="211"/>
      <c r="T270" s="211"/>
      <c r="U270" s="211"/>
      <c r="V270" s="211"/>
      <c r="W270" s="211"/>
      <c r="X270" s="211"/>
      <c r="Y270" s="211"/>
      <c r="Z270" s="211"/>
    </row>
    <row r="271" spans="1:257" s="210" customFormat="1" ht="16.5" hidden="1">
      <c r="A271" s="246" t="s">
        <v>619</v>
      </c>
      <c r="B271" s="22" t="s">
        <v>611</v>
      </c>
      <c r="C271" s="51"/>
      <c r="D271" s="51"/>
      <c r="E271" s="56">
        <f>+E272+E273+E274</f>
        <v>6223</v>
      </c>
      <c r="F271" s="56">
        <f t="shared" ref="F271:N271" si="46">+F272+F273+F274</f>
        <v>0</v>
      </c>
      <c r="G271" s="56">
        <f t="shared" si="46"/>
        <v>0</v>
      </c>
      <c r="H271" s="56">
        <f t="shared" si="46"/>
        <v>6223</v>
      </c>
      <c r="I271" s="56">
        <f t="shared" si="46"/>
        <v>4224</v>
      </c>
      <c r="J271" s="56">
        <f t="shared" si="46"/>
        <v>1000</v>
      </c>
      <c r="K271" s="56">
        <f t="shared" si="46"/>
        <v>5851</v>
      </c>
      <c r="L271" s="56">
        <f t="shared" si="46"/>
        <v>4224</v>
      </c>
      <c r="M271" s="56">
        <f t="shared" si="46"/>
        <v>1000</v>
      </c>
      <c r="N271" s="56">
        <f t="shared" si="46"/>
        <v>1000</v>
      </c>
      <c r="O271" s="238"/>
      <c r="Q271" s="211"/>
      <c r="R271" s="211"/>
      <c r="S271" s="211"/>
      <c r="T271" s="211"/>
      <c r="U271" s="211"/>
      <c r="V271" s="211"/>
      <c r="W271" s="211"/>
      <c r="X271" s="211"/>
      <c r="Y271" s="211"/>
      <c r="Z271" s="211"/>
    </row>
    <row r="272" spans="1:257" s="280" customFormat="1" ht="49.5" hidden="1">
      <c r="A272" s="246"/>
      <c r="B272" s="73" t="s">
        <v>379</v>
      </c>
      <c r="C272" s="247"/>
      <c r="D272" s="247"/>
      <c r="E272" s="37"/>
      <c r="F272" s="37"/>
      <c r="G272" s="37"/>
      <c r="H272" s="37"/>
      <c r="I272" s="37"/>
      <c r="J272" s="37"/>
      <c r="K272" s="37"/>
      <c r="L272" s="37"/>
      <c r="M272" s="37"/>
      <c r="N272" s="37"/>
      <c r="O272" s="211"/>
      <c r="P272" s="210"/>
      <c r="Q272" s="211"/>
      <c r="R272" s="211"/>
      <c r="S272" s="211"/>
      <c r="T272" s="211"/>
      <c r="U272" s="211"/>
      <c r="V272" s="211"/>
      <c r="W272" s="211"/>
      <c r="X272" s="211"/>
      <c r="Y272" s="211"/>
      <c r="Z272" s="211"/>
      <c r="AA272" s="210"/>
      <c r="AB272" s="210"/>
      <c r="AC272" s="210"/>
      <c r="AD272" s="210"/>
      <c r="AE272" s="210"/>
      <c r="AF272" s="210"/>
      <c r="AG272" s="210"/>
      <c r="AH272" s="210"/>
      <c r="AI272" s="210"/>
      <c r="AJ272" s="210"/>
      <c r="AK272" s="210"/>
      <c r="AL272" s="210"/>
      <c r="AM272" s="210"/>
      <c r="AN272" s="210"/>
      <c r="AO272" s="210"/>
      <c r="AP272" s="210"/>
      <c r="AQ272" s="210"/>
      <c r="AR272" s="210"/>
      <c r="AS272" s="210"/>
      <c r="AT272" s="210"/>
      <c r="AU272" s="210"/>
      <c r="AV272" s="210"/>
      <c r="AW272" s="210"/>
      <c r="AX272" s="210"/>
      <c r="AY272" s="210"/>
      <c r="AZ272" s="210"/>
      <c r="BA272" s="210"/>
      <c r="BB272" s="210"/>
      <c r="BC272" s="210"/>
      <c r="BD272" s="210"/>
      <c r="BE272" s="210"/>
      <c r="BF272" s="210"/>
      <c r="BG272" s="210"/>
      <c r="BH272" s="210"/>
      <c r="BI272" s="210"/>
      <c r="BJ272" s="210"/>
      <c r="BK272" s="210"/>
      <c r="BL272" s="210"/>
      <c r="BM272" s="210"/>
      <c r="BN272" s="210"/>
      <c r="BO272" s="210"/>
      <c r="BP272" s="210"/>
      <c r="BQ272" s="210"/>
      <c r="BR272" s="210"/>
      <c r="BS272" s="210"/>
      <c r="BT272" s="210"/>
      <c r="BU272" s="210"/>
      <c r="BV272" s="210"/>
      <c r="BW272" s="210"/>
      <c r="BX272" s="210"/>
      <c r="BY272" s="210"/>
      <c r="BZ272" s="210"/>
      <c r="CA272" s="210"/>
      <c r="CB272" s="210"/>
      <c r="CC272" s="210"/>
      <c r="CD272" s="210"/>
      <c r="CE272" s="210"/>
      <c r="CF272" s="210"/>
      <c r="CG272" s="210"/>
      <c r="CH272" s="210"/>
      <c r="CI272" s="210"/>
      <c r="CJ272" s="210"/>
      <c r="CK272" s="210"/>
      <c r="CL272" s="210"/>
      <c r="CM272" s="210"/>
      <c r="CN272" s="210"/>
      <c r="CO272" s="210"/>
      <c r="CP272" s="210"/>
      <c r="CQ272" s="210"/>
      <c r="CR272" s="210"/>
      <c r="CS272" s="210"/>
      <c r="CT272" s="210"/>
      <c r="CU272" s="210"/>
      <c r="CV272" s="210"/>
      <c r="CW272" s="210"/>
      <c r="CX272" s="210"/>
      <c r="CY272" s="210"/>
      <c r="CZ272" s="210"/>
      <c r="DA272" s="210"/>
      <c r="DB272" s="210"/>
      <c r="DC272" s="210"/>
      <c r="DD272" s="210"/>
      <c r="DE272" s="210"/>
      <c r="DF272" s="210"/>
      <c r="DG272" s="210"/>
      <c r="DH272" s="210"/>
      <c r="DI272" s="210"/>
      <c r="DJ272" s="210"/>
      <c r="DK272" s="210"/>
      <c r="DL272" s="210"/>
      <c r="DM272" s="210"/>
      <c r="DN272" s="210"/>
      <c r="DO272" s="210"/>
      <c r="DP272" s="210"/>
      <c r="DQ272" s="210"/>
      <c r="DR272" s="210"/>
      <c r="DS272" s="210"/>
      <c r="DT272" s="210"/>
      <c r="DU272" s="210"/>
      <c r="DV272" s="210"/>
      <c r="DW272" s="210"/>
      <c r="DX272" s="210"/>
      <c r="DY272" s="210"/>
      <c r="DZ272" s="210"/>
      <c r="EA272" s="210"/>
      <c r="EB272" s="210"/>
      <c r="EC272" s="210"/>
      <c r="ED272" s="210"/>
      <c r="EE272" s="210"/>
      <c r="EF272" s="210"/>
      <c r="EG272" s="210"/>
      <c r="EH272" s="210"/>
      <c r="EI272" s="210"/>
      <c r="EJ272" s="210"/>
      <c r="EK272" s="210"/>
      <c r="EL272" s="210"/>
      <c r="EM272" s="210"/>
      <c r="EN272" s="210"/>
      <c r="EO272" s="210"/>
      <c r="EP272" s="210"/>
      <c r="EQ272" s="210"/>
      <c r="ER272" s="210"/>
      <c r="ES272" s="210"/>
      <c r="ET272" s="210"/>
      <c r="EU272" s="210"/>
      <c r="EV272" s="210"/>
      <c r="EW272" s="210"/>
      <c r="EX272" s="210"/>
      <c r="EY272" s="210"/>
      <c r="EZ272" s="210"/>
      <c r="FA272" s="210"/>
      <c r="FB272" s="210"/>
      <c r="FC272" s="210"/>
      <c r="FD272" s="210"/>
      <c r="FE272" s="210"/>
      <c r="FF272" s="210"/>
      <c r="FG272" s="210"/>
      <c r="FH272" s="210"/>
      <c r="FI272" s="210"/>
      <c r="FJ272" s="210"/>
      <c r="FK272" s="210"/>
      <c r="FL272" s="210"/>
      <c r="FM272" s="210"/>
      <c r="FN272" s="210"/>
      <c r="FO272" s="210"/>
      <c r="FP272" s="210"/>
      <c r="FQ272" s="210"/>
      <c r="FR272" s="210"/>
      <c r="FS272" s="210"/>
      <c r="FT272" s="210"/>
      <c r="FU272" s="210"/>
      <c r="FV272" s="210"/>
      <c r="FW272" s="210"/>
      <c r="FX272" s="210"/>
      <c r="FY272" s="210"/>
      <c r="FZ272" s="210"/>
      <c r="GA272" s="210"/>
      <c r="GB272" s="210"/>
      <c r="GC272" s="210"/>
      <c r="GD272" s="210"/>
      <c r="GE272" s="210"/>
      <c r="GF272" s="210"/>
      <c r="GG272" s="210"/>
      <c r="GH272" s="210"/>
      <c r="GI272" s="210"/>
      <c r="GJ272" s="210"/>
      <c r="GK272" s="210"/>
      <c r="GL272" s="210"/>
      <c r="GM272" s="210"/>
      <c r="GN272" s="210"/>
      <c r="GO272" s="210"/>
      <c r="GP272" s="210"/>
      <c r="GQ272" s="210"/>
      <c r="GR272" s="210"/>
      <c r="GS272" s="210"/>
      <c r="GT272" s="210"/>
      <c r="GU272" s="210"/>
      <c r="GV272" s="210"/>
      <c r="GW272" s="210"/>
      <c r="GX272" s="210"/>
      <c r="GY272" s="210"/>
      <c r="GZ272" s="210"/>
      <c r="HA272" s="210"/>
      <c r="HB272" s="210"/>
      <c r="HC272" s="210"/>
      <c r="HD272" s="210"/>
      <c r="HE272" s="210"/>
      <c r="HF272" s="210"/>
      <c r="HG272" s="210"/>
      <c r="HH272" s="210"/>
      <c r="HI272" s="210"/>
      <c r="HJ272" s="210"/>
      <c r="HK272" s="210"/>
      <c r="HL272" s="210"/>
      <c r="HM272" s="210"/>
      <c r="HN272" s="210"/>
      <c r="HO272" s="210"/>
      <c r="HP272" s="210"/>
      <c r="HQ272" s="210"/>
      <c r="HR272" s="210"/>
      <c r="HS272" s="210"/>
      <c r="HT272" s="210"/>
      <c r="HU272" s="210"/>
      <c r="HV272" s="210"/>
      <c r="HW272" s="210"/>
      <c r="HX272" s="210"/>
      <c r="HY272" s="210"/>
      <c r="HZ272" s="210"/>
      <c r="IA272" s="210"/>
      <c r="IB272" s="210"/>
      <c r="IC272" s="210"/>
      <c r="ID272" s="210"/>
      <c r="IE272" s="210"/>
      <c r="IF272" s="210"/>
      <c r="IG272" s="210"/>
      <c r="IH272" s="210"/>
      <c r="II272" s="210"/>
      <c r="IJ272" s="210"/>
      <c r="IK272" s="210"/>
      <c r="IL272" s="210"/>
      <c r="IM272" s="210"/>
      <c r="IN272" s="210"/>
      <c r="IO272" s="210"/>
      <c r="IP272" s="210"/>
      <c r="IQ272" s="210"/>
      <c r="IR272" s="210"/>
      <c r="IS272" s="210"/>
      <c r="IT272" s="210"/>
      <c r="IU272" s="210"/>
      <c r="IV272" s="210"/>
      <c r="IW272" s="210"/>
    </row>
    <row r="273" spans="1:257" s="280" customFormat="1" ht="33" hidden="1">
      <c r="A273" s="246"/>
      <c r="B273" s="22" t="s">
        <v>141</v>
      </c>
      <c r="C273" s="23"/>
      <c r="D273" s="24"/>
      <c r="E273" s="25"/>
      <c r="F273" s="25"/>
      <c r="G273" s="25"/>
      <c r="H273" s="25"/>
      <c r="I273" s="25"/>
      <c r="J273" s="25"/>
      <c r="K273" s="25"/>
      <c r="L273" s="25"/>
      <c r="M273" s="25"/>
      <c r="N273" s="25"/>
      <c r="O273" s="211"/>
      <c r="P273" s="210"/>
      <c r="Q273" s="211"/>
      <c r="R273" s="211"/>
      <c r="S273" s="211"/>
      <c r="T273" s="211"/>
      <c r="U273" s="211"/>
      <c r="V273" s="211"/>
      <c r="W273" s="211"/>
      <c r="X273" s="211"/>
      <c r="Y273" s="211"/>
      <c r="Z273" s="211"/>
      <c r="AA273" s="210"/>
      <c r="AB273" s="210"/>
      <c r="AC273" s="210"/>
      <c r="AD273" s="210"/>
      <c r="AE273" s="210"/>
      <c r="AF273" s="210"/>
      <c r="AG273" s="210"/>
      <c r="AH273" s="210"/>
      <c r="AI273" s="210"/>
      <c r="AJ273" s="210"/>
      <c r="AK273" s="210"/>
      <c r="AL273" s="210"/>
      <c r="AM273" s="210"/>
      <c r="AN273" s="210"/>
      <c r="AO273" s="210"/>
      <c r="AP273" s="210"/>
      <c r="AQ273" s="210"/>
      <c r="AR273" s="210"/>
      <c r="AS273" s="210"/>
      <c r="AT273" s="210"/>
      <c r="AU273" s="210"/>
      <c r="AV273" s="210"/>
      <c r="AW273" s="210"/>
      <c r="AX273" s="210"/>
      <c r="AY273" s="210"/>
      <c r="AZ273" s="210"/>
      <c r="BA273" s="210"/>
      <c r="BB273" s="210"/>
      <c r="BC273" s="210"/>
      <c r="BD273" s="210"/>
      <c r="BE273" s="210"/>
      <c r="BF273" s="210"/>
      <c r="BG273" s="210"/>
      <c r="BH273" s="210"/>
      <c r="BI273" s="210"/>
      <c r="BJ273" s="210"/>
      <c r="BK273" s="210"/>
      <c r="BL273" s="210"/>
      <c r="BM273" s="210"/>
      <c r="BN273" s="210"/>
      <c r="BO273" s="210"/>
      <c r="BP273" s="210"/>
      <c r="BQ273" s="210"/>
      <c r="BR273" s="210"/>
      <c r="BS273" s="210"/>
      <c r="BT273" s="210"/>
      <c r="BU273" s="210"/>
      <c r="BV273" s="210"/>
      <c r="BW273" s="210"/>
      <c r="BX273" s="210"/>
      <c r="BY273" s="210"/>
      <c r="BZ273" s="210"/>
      <c r="CA273" s="210"/>
      <c r="CB273" s="210"/>
      <c r="CC273" s="210"/>
      <c r="CD273" s="210"/>
      <c r="CE273" s="210"/>
      <c r="CF273" s="210"/>
      <c r="CG273" s="210"/>
      <c r="CH273" s="210"/>
      <c r="CI273" s="210"/>
      <c r="CJ273" s="210"/>
      <c r="CK273" s="210"/>
      <c r="CL273" s="210"/>
      <c r="CM273" s="210"/>
      <c r="CN273" s="210"/>
      <c r="CO273" s="210"/>
      <c r="CP273" s="210"/>
      <c r="CQ273" s="210"/>
      <c r="CR273" s="210"/>
      <c r="CS273" s="210"/>
      <c r="CT273" s="210"/>
      <c r="CU273" s="210"/>
      <c r="CV273" s="210"/>
      <c r="CW273" s="210"/>
      <c r="CX273" s="210"/>
      <c r="CY273" s="210"/>
      <c r="CZ273" s="210"/>
      <c r="DA273" s="210"/>
      <c r="DB273" s="210"/>
      <c r="DC273" s="210"/>
      <c r="DD273" s="210"/>
      <c r="DE273" s="210"/>
      <c r="DF273" s="210"/>
      <c r="DG273" s="210"/>
      <c r="DH273" s="210"/>
      <c r="DI273" s="210"/>
      <c r="DJ273" s="210"/>
      <c r="DK273" s="210"/>
      <c r="DL273" s="210"/>
      <c r="DM273" s="210"/>
      <c r="DN273" s="210"/>
      <c r="DO273" s="210"/>
      <c r="DP273" s="210"/>
      <c r="DQ273" s="210"/>
      <c r="DR273" s="210"/>
      <c r="DS273" s="210"/>
      <c r="DT273" s="210"/>
      <c r="DU273" s="210"/>
      <c r="DV273" s="210"/>
      <c r="DW273" s="210"/>
      <c r="DX273" s="210"/>
      <c r="DY273" s="210"/>
      <c r="DZ273" s="210"/>
      <c r="EA273" s="210"/>
      <c r="EB273" s="210"/>
      <c r="EC273" s="210"/>
      <c r="ED273" s="210"/>
      <c r="EE273" s="210"/>
      <c r="EF273" s="210"/>
      <c r="EG273" s="210"/>
      <c r="EH273" s="210"/>
      <c r="EI273" s="210"/>
      <c r="EJ273" s="210"/>
      <c r="EK273" s="210"/>
      <c r="EL273" s="210"/>
      <c r="EM273" s="210"/>
      <c r="EN273" s="210"/>
      <c r="EO273" s="210"/>
      <c r="EP273" s="210"/>
      <c r="EQ273" s="210"/>
      <c r="ER273" s="210"/>
      <c r="ES273" s="210"/>
      <c r="ET273" s="210"/>
      <c r="EU273" s="210"/>
      <c r="EV273" s="210"/>
      <c r="EW273" s="210"/>
      <c r="EX273" s="210"/>
      <c r="EY273" s="210"/>
      <c r="EZ273" s="210"/>
      <c r="FA273" s="210"/>
      <c r="FB273" s="210"/>
      <c r="FC273" s="210"/>
      <c r="FD273" s="210"/>
      <c r="FE273" s="210"/>
      <c r="FF273" s="210"/>
      <c r="FG273" s="210"/>
      <c r="FH273" s="210"/>
      <c r="FI273" s="210"/>
      <c r="FJ273" s="210"/>
      <c r="FK273" s="210"/>
      <c r="FL273" s="210"/>
      <c r="FM273" s="210"/>
      <c r="FN273" s="210"/>
      <c r="FO273" s="210"/>
      <c r="FP273" s="210"/>
      <c r="FQ273" s="210"/>
      <c r="FR273" s="210"/>
      <c r="FS273" s="210"/>
      <c r="FT273" s="210"/>
      <c r="FU273" s="210"/>
      <c r="FV273" s="210"/>
      <c r="FW273" s="210"/>
      <c r="FX273" s="210"/>
      <c r="FY273" s="210"/>
      <c r="FZ273" s="210"/>
      <c r="GA273" s="210"/>
      <c r="GB273" s="210"/>
      <c r="GC273" s="210"/>
      <c r="GD273" s="210"/>
      <c r="GE273" s="210"/>
      <c r="GF273" s="210"/>
      <c r="GG273" s="210"/>
      <c r="GH273" s="210"/>
      <c r="GI273" s="210"/>
      <c r="GJ273" s="210"/>
      <c r="GK273" s="210"/>
      <c r="GL273" s="210"/>
      <c r="GM273" s="210"/>
      <c r="GN273" s="210"/>
      <c r="GO273" s="210"/>
      <c r="GP273" s="210"/>
      <c r="GQ273" s="210"/>
      <c r="GR273" s="210"/>
      <c r="GS273" s="210"/>
      <c r="GT273" s="210"/>
      <c r="GU273" s="210"/>
      <c r="GV273" s="210"/>
      <c r="GW273" s="210"/>
      <c r="GX273" s="210"/>
      <c r="GY273" s="210"/>
      <c r="GZ273" s="210"/>
      <c r="HA273" s="210"/>
      <c r="HB273" s="210"/>
      <c r="HC273" s="210"/>
      <c r="HD273" s="210"/>
      <c r="HE273" s="210"/>
      <c r="HF273" s="210"/>
      <c r="HG273" s="210"/>
      <c r="HH273" s="210"/>
      <c r="HI273" s="210"/>
      <c r="HJ273" s="210"/>
      <c r="HK273" s="210"/>
      <c r="HL273" s="210"/>
      <c r="HM273" s="210"/>
      <c r="HN273" s="210"/>
      <c r="HO273" s="210"/>
      <c r="HP273" s="210"/>
      <c r="HQ273" s="210"/>
      <c r="HR273" s="210"/>
      <c r="HS273" s="210"/>
      <c r="HT273" s="210"/>
      <c r="HU273" s="210"/>
      <c r="HV273" s="210"/>
      <c r="HW273" s="210"/>
      <c r="HX273" s="210"/>
      <c r="HY273" s="210"/>
      <c r="HZ273" s="210"/>
      <c r="IA273" s="210"/>
      <c r="IB273" s="210"/>
      <c r="IC273" s="210"/>
      <c r="ID273" s="210"/>
      <c r="IE273" s="210"/>
      <c r="IF273" s="210"/>
      <c r="IG273" s="210"/>
      <c r="IH273" s="210"/>
      <c r="II273" s="210"/>
      <c r="IJ273" s="210"/>
      <c r="IK273" s="210"/>
      <c r="IL273" s="210"/>
      <c r="IM273" s="210"/>
      <c r="IN273" s="210"/>
      <c r="IO273" s="210"/>
      <c r="IP273" s="210"/>
      <c r="IQ273" s="210"/>
      <c r="IR273" s="210"/>
      <c r="IS273" s="210"/>
      <c r="IT273" s="210"/>
      <c r="IU273" s="210"/>
      <c r="IV273" s="210"/>
      <c r="IW273" s="210"/>
    </row>
    <row r="274" spans="1:257" s="280" customFormat="1" ht="33" hidden="1">
      <c r="A274" s="246"/>
      <c r="B274" s="22" t="s">
        <v>335</v>
      </c>
      <c r="C274" s="23"/>
      <c r="D274" s="24"/>
      <c r="E274" s="25">
        <f>SUM(E275)</f>
        <v>6223</v>
      </c>
      <c r="F274" s="25">
        <f t="shared" ref="F274:N274" si="47">SUM(F275)</f>
        <v>0</v>
      </c>
      <c r="G274" s="25">
        <f t="shared" si="47"/>
        <v>0</v>
      </c>
      <c r="H274" s="25">
        <f t="shared" si="47"/>
        <v>6223</v>
      </c>
      <c r="I274" s="25">
        <f t="shared" si="47"/>
        <v>4224</v>
      </c>
      <c r="J274" s="25">
        <f t="shared" si="47"/>
        <v>1000</v>
      </c>
      <c r="K274" s="25">
        <f t="shared" si="47"/>
        <v>5851</v>
      </c>
      <c r="L274" s="25">
        <f t="shared" si="47"/>
        <v>4224</v>
      </c>
      <c r="M274" s="25">
        <f t="shared" si="47"/>
        <v>1000</v>
      </c>
      <c r="N274" s="25">
        <f t="shared" si="47"/>
        <v>1000</v>
      </c>
      <c r="O274" s="211"/>
      <c r="P274" s="210"/>
      <c r="Q274" s="211"/>
      <c r="R274" s="211"/>
      <c r="S274" s="211"/>
      <c r="T274" s="211"/>
      <c r="U274" s="211"/>
      <c r="V274" s="211"/>
      <c r="W274" s="211"/>
      <c r="X274" s="211"/>
      <c r="Y274" s="211"/>
      <c r="Z274" s="211"/>
      <c r="AA274" s="210"/>
      <c r="AB274" s="210"/>
      <c r="AC274" s="210"/>
      <c r="AD274" s="210"/>
      <c r="AE274" s="210"/>
      <c r="AF274" s="210"/>
      <c r="AG274" s="210"/>
      <c r="AH274" s="210"/>
      <c r="AI274" s="210"/>
      <c r="AJ274" s="210"/>
      <c r="AK274" s="210"/>
      <c r="AL274" s="210"/>
      <c r="AM274" s="210"/>
      <c r="AN274" s="210"/>
      <c r="AO274" s="210"/>
      <c r="AP274" s="210"/>
      <c r="AQ274" s="210"/>
      <c r="AR274" s="210"/>
      <c r="AS274" s="210"/>
      <c r="AT274" s="210"/>
      <c r="AU274" s="210"/>
      <c r="AV274" s="210"/>
      <c r="AW274" s="210"/>
      <c r="AX274" s="210"/>
      <c r="AY274" s="210"/>
      <c r="AZ274" s="210"/>
      <c r="BA274" s="210"/>
      <c r="BB274" s="210"/>
      <c r="BC274" s="210"/>
      <c r="BD274" s="210"/>
      <c r="BE274" s="210"/>
      <c r="BF274" s="210"/>
      <c r="BG274" s="210"/>
      <c r="BH274" s="210"/>
      <c r="BI274" s="210"/>
      <c r="BJ274" s="210"/>
      <c r="BK274" s="210"/>
      <c r="BL274" s="210"/>
      <c r="BM274" s="210"/>
      <c r="BN274" s="210"/>
      <c r="BO274" s="210"/>
      <c r="BP274" s="210"/>
      <c r="BQ274" s="210"/>
      <c r="BR274" s="210"/>
      <c r="BS274" s="210"/>
      <c r="BT274" s="210"/>
      <c r="BU274" s="210"/>
      <c r="BV274" s="210"/>
      <c r="BW274" s="210"/>
      <c r="BX274" s="210"/>
      <c r="BY274" s="210"/>
      <c r="BZ274" s="210"/>
      <c r="CA274" s="210"/>
      <c r="CB274" s="210"/>
      <c r="CC274" s="210"/>
      <c r="CD274" s="210"/>
      <c r="CE274" s="210"/>
      <c r="CF274" s="210"/>
      <c r="CG274" s="210"/>
      <c r="CH274" s="210"/>
      <c r="CI274" s="210"/>
      <c r="CJ274" s="210"/>
      <c r="CK274" s="210"/>
      <c r="CL274" s="210"/>
      <c r="CM274" s="210"/>
      <c r="CN274" s="210"/>
      <c r="CO274" s="210"/>
      <c r="CP274" s="210"/>
      <c r="CQ274" s="210"/>
      <c r="CR274" s="210"/>
      <c r="CS274" s="210"/>
      <c r="CT274" s="210"/>
      <c r="CU274" s="210"/>
      <c r="CV274" s="210"/>
      <c r="CW274" s="210"/>
      <c r="CX274" s="210"/>
      <c r="CY274" s="210"/>
      <c r="CZ274" s="210"/>
      <c r="DA274" s="210"/>
      <c r="DB274" s="210"/>
      <c r="DC274" s="210"/>
      <c r="DD274" s="210"/>
      <c r="DE274" s="210"/>
      <c r="DF274" s="210"/>
      <c r="DG274" s="210"/>
      <c r="DH274" s="210"/>
      <c r="DI274" s="210"/>
      <c r="DJ274" s="210"/>
      <c r="DK274" s="210"/>
      <c r="DL274" s="210"/>
      <c r="DM274" s="210"/>
      <c r="DN274" s="210"/>
      <c r="DO274" s="210"/>
      <c r="DP274" s="210"/>
      <c r="DQ274" s="210"/>
      <c r="DR274" s="210"/>
      <c r="DS274" s="210"/>
      <c r="DT274" s="210"/>
      <c r="DU274" s="210"/>
      <c r="DV274" s="210"/>
      <c r="DW274" s="210"/>
      <c r="DX274" s="210"/>
      <c r="DY274" s="210"/>
      <c r="DZ274" s="210"/>
      <c r="EA274" s="210"/>
      <c r="EB274" s="210"/>
      <c r="EC274" s="210"/>
      <c r="ED274" s="210"/>
      <c r="EE274" s="210"/>
      <c r="EF274" s="210"/>
      <c r="EG274" s="210"/>
      <c r="EH274" s="210"/>
      <c r="EI274" s="210"/>
      <c r="EJ274" s="210"/>
      <c r="EK274" s="210"/>
      <c r="EL274" s="210"/>
      <c r="EM274" s="210"/>
      <c r="EN274" s="210"/>
      <c r="EO274" s="210"/>
      <c r="EP274" s="210"/>
      <c r="EQ274" s="210"/>
      <c r="ER274" s="210"/>
      <c r="ES274" s="210"/>
      <c r="ET274" s="210"/>
      <c r="EU274" s="210"/>
      <c r="EV274" s="210"/>
      <c r="EW274" s="210"/>
      <c r="EX274" s="210"/>
      <c r="EY274" s="210"/>
      <c r="EZ274" s="210"/>
      <c r="FA274" s="210"/>
      <c r="FB274" s="210"/>
      <c r="FC274" s="210"/>
      <c r="FD274" s="210"/>
      <c r="FE274" s="210"/>
      <c r="FF274" s="210"/>
      <c r="FG274" s="210"/>
      <c r="FH274" s="210"/>
      <c r="FI274" s="210"/>
      <c r="FJ274" s="210"/>
      <c r="FK274" s="210"/>
      <c r="FL274" s="210"/>
      <c r="FM274" s="210"/>
      <c r="FN274" s="210"/>
      <c r="FO274" s="210"/>
      <c r="FP274" s="210"/>
      <c r="FQ274" s="210"/>
      <c r="FR274" s="210"/>
      <c r="FS274" s="210"/>
      <c r="FT274" s="210"/>
      <c r="FU274" s="210"/>
      <c r="FV274" s="210"/>
      <c r="FW274" s="210"/>
      <c r="FX274" s="210"/>
      <c r="FY274" s="210"/>
      <c r="FZ274" s="210"/>
      <c r="GA274" s="210"/>
      <c r="GB274" s="210"/>
      <c r="GC274" s="210"/>
      <c r="GD274" s="210"/>
      <c r="GE274" s="210"/>
      <c r="GF274" s="210"/>
      <c r="GG274" s="210"/>
      <c r="GH274" s="210"/>
      <c r="GI274" s="210"/>
      <c r="GJ274" s="210"/>
      <c r="GK274" s="210"/>
      <c r="GL274" s="210"/>
      <c r="GM274" s="210"/>
      <c r="GN274" s="210"/>
      <c r="GO274" s="210"/>
      <c r="GP274" s="210"/>
      <c r="GQ274" s="210"/>
      <c r="GR274" s="210"/>
      <c r="GS274" s="210"/>
      <c r="GT274" s="210"/>
      <c r="GU274" s="210"/>
      <c r="GV274" s="210"/>
      <c r="GW274" s="210"/>
      <c r="GX274" s="210"/>
      <c r="GY274" s="210"/>
      <c r="GZ274" s="210"/>
      <c r="HA274" s="210"/>
      <c r="HB274" s="210"/>
      <c r="HC274" s="210"/>
      <c r="HD274" s="210"/>
      <c r="HE274" s="210"/>
      <c r="HF274" s="210"/>
      <c r="HG274" s="210"/>
      <c r="HH274" s="210"/>
      <c r="HI274" s="210"/>
      <c r="HJ274" s="210"/>
      <c r="HK274" s="210"/>
      <c r="HL274" s="210"/>
      <c r="HM274" s="210"/>
      <c r="HN274" s="210"/>
      <c r="HO274" s="210"/>
      <c r="HP274" s="210"/>
      <c r="HQ274" s="210"/>
      <c r="HR274" s="210"/>
      <c r="HS274" s="210"/>
      <c r="HT274" s="210"/>
      <c r="HU274" s="210"/>
      <c r="HV274" s="210"/>
      <c r="HW274" s="210"/>
      <c r="HX274" s="210"/>
      <c r="HY274" s="210"/>
      <c r="HZ274" s="210"/>
      <c r="IA274" s="210"/>
      <c r="IB274" s="210"/>
      <c r="IC274" s="210"/>
      <c r="ID274" s="210"/>
      <c r="IE274" s="210"/>
      <c r="IF274" s="210"/>
      <c r="IG274" s="210"/>
      <c r="IH274" s="210"/>
      <c r="II274" s="210"/>
      <c r="IJ274" s="210"/>
      <c r="IK274" s="210"/>
      <c r="IL274" s="210"/>
      <c r="IM274" s="210"/>
      <c r="IN274" s="210"/>
      <c r="IO274" s="210"/>
      <c r="IP274" s="210"/>
      <c r="IQ274" s="210"/>
      <c r="IR274" s="210"/>
      <c r="IS274" s="210"/>
      <c r="IT274" s="210"/>
      <c r="IU274" s="210"/>
      <c r="IV274" s="210"/>
      <c r="IW274" s="210"/>
    </row>
    <row r="275" spans="1:257" s="83" customFormat="1" ht="66" hidden="1">
      <c r="A275" s="46">
        <v>3</v>
      </c>
      <c r="B275" s="42" t="s">
        <v>608</v>
      </c>
      <c r="C275" s="46" t="s">
        <v>609</v>
      </c>
      <c r="D275" s="46" t="s">
        <v>610</v>
      </c>
      <c r="E275" s="54">
        <v>6223</v>
      </c>
      <c r="F275" s="46"/>
      <c r="G275" s="44"/>
      <c r="H275" s="54">
        <f>E275-F275</f>
        <v>6223</v>
      </c>
      <c r="I275" s="33">
        <v>4224</v>
      </c>
      <c r="J275" s="33">
        <v>1000</v>
      </c>
      <c r="K275" s="54">
        <v>5851</v>
      </c>
      <c r="L275" s="33">
        <v>4224</v>
      </c>
      <c r="M275" s="33">
        <v>1000</v>
      </c>
      <c r="N275" s="33">
        <v>1000</v>
      </c>
      <c r="O275" s="82"/>
      <c r="Q275" s="82"/>
      <c r="R275" s="82"/>
      <c r="S275" s="82"/>
      <c r="T275" s="82"/>
      <c r="U275" s="82"/>
      <c r="V275" s="82"/>
      <c r="W275" s="82"/>
      <c r="X275" s="82"/>
      <c r="Y275" s="82"/>
      <c r="Z275" s="82"/>
    </row>
    <row r="276" spans="1:257" s="210" customFormat="1" ht="16.5" hidden="1">
      <c r="A276" s="167" t="s">
        <v>710</v>
      </c>
      <c r="B276" s="266" t="s">
        <v>618</v>
      </c>
      <c r="C276" s="23"/>
      <c r="D276" s="168"/>
      <c r="E276" s="169">
        <f t="shared" ref="E276:N276" si="48">+E277+E278+E282</f>
        <v>17065.925999999999</v>
      </c>
      <c r="F276" s="169">
        <f t="shared" si="48"/>
        <v>2600</v>
      </c>
      <c r="G276" s="169">
        <f t="shared" si="48"/>
        <v>4100</v>
      </c>
      <c r="H276" s="169">
        <f t="shared" si="48"/>
        <v>10365.925999999999</v>
      </c>
      <c r="I276" s="169">
        <f t="shared" si="48"/>
        <v>13291.537</v>
      </c>
      <c r="J276" s="169">
        <f t="shared" si="48"/>
        <v>3988</v>
      </c>
      <c r="K276" s="169">
        <f t="shared" si="48"/>
        <v>13897.572</v>
      </c>
      <c r="L276" s="169">
        <f t="shared" si="48"/>
        <v>4608</v>
      </c>
      <c r="M276" s="169">
        <f t="shared" si="48"/>
        <v>3950</v>
      </c>
      <c r="N276" s="169">
        <f t="shared" si="48"/>
        <v>3988</v>
      </c>
      <c r="O276" s="171"/>
      <c r="Q276" s="211"/>
      <c r="R276" s="211"/>
      <c r="S276" s="211"/>
      <c r="T276" s="211"/>
      <c r="U276" s="211"/>
      <c r="V276" s="211"/>
      <c r="W276" s="211"/>
      <c r="X276" s="211"/>
      <c r="Y276" s="211"/>
      <c r="Z276" s="211"/>
    </row>
    <row r="277" spans="1:257" s="280" customFormat="1" ht="49.5" hidden="1">
      <c r="A277" s="246"/>
      <c r="B277" s="73" t="s">
        <v>379</v>
      </c>
      <c r="C277" s="247"/>
      <c r="D277" s="247"/>
      <c r="E277" s="37"/>
      <c r="F277" s="37"/>
      <c r="G277" s="37"/>
      <c r="H277" s="37"/>
      <c r="I277" s="37"/>
      <c r="J277" s="37"/>
      <c r="K277" s="37"/>
      <c r="L277" s="37"/>
      <c r="M277" s="37"/>
      <c r="N277" s="37"/>
      <c r="O277" s="211"/>
      <c r="P277" s="210"/>
      <c r="Q277" s="211"/>
      <c r="R277" s="211"/>
      <c r="S277" s="211"/>
      <c r="T277" s="211"/>
      <c r="U277" s="211"/>
      <c r="V277" s="211"/>
      <c r="W277" s="211"/>
      <c r="X277" s="211"/>
      <c r="Y277" s="211"/>
      <c r="Z277" s="211"/>
      <c r="AA277" s="210"/>
      <c r="AB277" s="210"/>
      <c r="AC277" s="210"/>
      <c r="AD277" s="210"/>
      <c r="AE277" s="210"/>
      <c r="AF277" s="210"/>
      <c r="AG277" s="210"/>
      <c r="AH277" s="210"/>
      <c r="AI277" s="210"/>
      <c r="AJ277" s="210"/>
      <c r="AK277" s="210"/>
      <c r="AL277" s="210"/>
      <c r="AM277" s="210"/>
      <c r="AN277" s="210"/>
      <c r="AO277" s="210"/>
      <c r="AP277" s="210"/>
      <c r="AQ277" s="210"/>
      <c r="AR277" s="210"/>
      <c r="AS277" s="210"/>
      <c r="AT277" s="210"/>
      <c r="AU277" s="210"/>
      <c r="AV277" s="210"/>
      <c r="AW277" s="210"/>
      <c r="AX277" s="210"/>
      <c r="AY277" s="210"/>
      <c r="AZ277" s="210"/>
      <c r="BA277" s="210"/>
      <c r="BB277" s="210"/>
      <c r="BC277" s="210"/>
      <c r="BD277" s="210"/>
      <c r="BE277" s="210"/>
      <c r="BF277" s="210"/>
      <c r="BG277" s="210"/>
      <c r="BH277" s="210"/>
      <c r="BI277" s="210"/>
      <c r="BJ277" s="210"/>
      <c r="BK277" s="210"/>
      <c r="BL277" s="210"/>
      <c r="BM277" s="210"/>
      <c r="BN277" s="210"/>
      <c r="BO277" s="210"/>
      <c r="BP277" s="210"/>
      <c r="BQ277" s="210"/>
      <c r="BR277" s="210"/>
      <c r="BS277" s="210"/>
      <c r="BT277" s="210"/>
      <c r="BU277" s="210"/>
      <c r="BV277" s="210"/>
      <c r="BW277" s="210"/>
      <c r="BX277" s="210"/>
      <c r="BY277" s="210"/>
      <c r="BZ277" s="210"/>
      <c r="CA277" s="210"/>
      <c r="CB277" s="210"/>
      <c r="CC277" s="210"/>
      <c r="CD277" s="210"/>
      <c r="CE277" s="210"/>
      <c r="CF277" s="210"/>
      <c r="CG277" s="210"/>
      <c r="CH277" s="210"/>
      <c r="CI277" s="210"/>
      <c r="CJ277" s="210"/>
      <c r="CK277" s="210"/>
      <c r="CL277" s="210"/>
      <c r="CM277" s="210"/>
      <c r="CN277" s="210"/>
      <c r="CO277" s="210"/>
      <c r="CP277" s="210"/>
      <c r="CQ277" s="210"/>
      <c r="CR277" s="210"/>
      <c r="CS277" s="210"/>
      <c r="CT277" s="210"/>
      <c r="CU277" s="210"/>
      <c r="CV277" s="210"/>
      <c r="CW277" s="210"/>
      <c r="CX277" s="210"/>
      <c r="CY277" s="210"/>
      <c r="CZ277" s="210"/>
      <c r="DA277" s="210"/>
      <c r="DB277" s="210"/>
      <c r="DC277" s="210"/>
      <c r="DD277" s="210"/>
      <c r="DE277" s="210"/>
      <c r="DF277" s="210"/>
      <c r="DG277" s="210"/>
      <c r="DH277" s="210"/>
      <c r="DI277" s="210"/>
      <c r="DJ277" s="210"/>
      <c r="DK277" s="210"/>
      <c r="DL277" s="210"/>
      <c r="DM277" s="210"/>
      <c r="DN277" s="210"/>
      <c r="DO277" s="210"/>
      <c r="DP277" s="210"/>
      <c r="DQ277" s="210"/>
      <c r="DR277" s="210"/>
      <c r="DS277" s="210"/>
      <c r="DT277" s="210"/>
      <c r="DU277" s="210"/>
      <c r="DV277" s="210"/>
      <c r="DW277" s="210"/>
      <c r="DX277" s="210"/>
      <c r="DY277" s="210"/>
      <c r="DZ277" s="210"/>
      <c r="EA277" s="210"/>
      <c r="EB277" s="210"/>
      <c r="EC277" s="210"/>
      <c r="ED277" s="210"/>
      <c r="EE277" s="210"/>
      <c r="EF277" s="210"/>
      <c r="EG277" s="210"/>
      <c r="EH277" s="210"/>
      <c r="EI277" s="210"/>
      <c r="EJ277" s="210"/>
      <c r="EK277" s="210"/>
      <c r="EL277" s="210"/>
      <c r="EM277" s="210"/>
      <c r="EN277" s="210"/>
      <c r="EO277" s="210"/>
      <c r="EP277" s="210"/>
      <c r="EQ277" s="210"/>
      <c r="ER277" s="210"/>
      <c r="ES277" s="210"/>
      <c r="ET277" s="210"/>
      <c r="EU277" s="210"/>
      <c r="EV277" s="210"/>
      <c r="EW277" s="210"/>
      <c r="EX277" s="210"/>
      <c r="EY277" s="210"/>
      <c r="EZ277" s="210"/>
      <c r="FA277" s="210"/>
      <c r="FB277" s="210"/>
      <c r="FC277" s="210"/>
      <c r="FD277" s="210"/>
      <c r="FE277" s="210"/>
      <c r="FF277" s="210"/>
      <c r="FG277" s="210"/>
      <c r="FH277" s="210"/>
      <c r="FI277" s="210"/>
      <c r="FJ277" s="210"/>
      <c r="FK277" s="210"/>
      <c r="FL277" s="210"/>
      <c r="FM277" s="210"/>
      <c r="FN277" s="210"/>
      <c r="FO277" s="210"/>
      <c r="FP277" s="210"/>
      <c r="FQ277" s="210"/>
      <c r="FR277" s="210"/>
      <c r="FS277" s="210"/>
      <c r="FT277" s="210"/>
      <c r="FU277" s="210"/>
      <c r="FV277" s="210"/>
      <c r="FW277" s="210"/>
      <c r="FX277" s="210"/>
      <c r="FY277" s="210"/>
      <c r="FZ277" s="210"/>
      <c r="GA277" s="210"/>
      <c r="GB277" s="210"/>
      <c r="GC277" s="210"/>
      <c r="GD277" s="210"/>
      <c r="GE277" s="210"/>
      <c r="GF277" s="210"/>
      <c r="GG277" s="210"/>
      <c r="GH277" s="210"/>
      <c r="GI277" s="210"/>
      <c r="GJ277" s="210"/>
      <c r="GK277" s="210"/>
      <c r="GL277" s="210"/>
      <c r="GM277" s="210"/>
      <c r="GN277" s="210"/>
      <c r="GO277" s="210"/>
      <c r="GP277" s="210"/>
      <c r="GQ277" s="210"/>
      <c r="GR277" s="210"/>
      <c r="GS277" s="210"/>
      <c r="GT277" s="210"/>
      <c r="GU277" s="210"/>
      <c r="GV277" s="210"/>
      <c r="GW277" s="210"/>
      <c r="GX277" s="210"/>
      <c r="GY277" s="210"/>
      <c r="GZ277" s="210"/>
      <c r="HA277" s="210"/>
      <c r="HB277" s="210"/>
      <c r="HC277" s="210"/>
      <c r="HD277" s="210"/>
      <c r="HE277" s="210"/>
      <c r="HF277" s="210"/>
      <c r="HG277" s="210"/>
      <c r="HH277" s="210"/>
      <c r="HI277" s="210"/>
      <c r="HJ277" s="210"/>
      <c r="HK277" s="210"/>
      <c r="HL277" s="210"/>
      <c r="HM277" s="210"/>
      <c r="HN277" s="210"/>
      <c r="HO277" s="210"/>
      <c r="HP277" s="210"/>
      <c r="HQ277" s="210"/>
      <c r="HR277" s="210"/>
      <c r="HS277" s="210"/>
      <c r="HT277" s="210"/>
      <c r="HU277" s="210"/>
      <c r="HV277" s="210"/>
      <c r="HW277" s="210"/>
      <c r="HX277" s="210"/>
      <c r="HY277" s="210"/>
      <c r="HZ277" s="210"/>
      <c r="IA277" s="210"/>
      <c r="IB277" s="210"/>
      <c r="IC277" s="210"/>
      <c r="ID277" s="210"/>
      <c r="IE277" s="210"/>
      <c r="IF277" s="210"/>
      <c r="IG277" s="210"/>
      <c r="IH277" s="210"/>
      <c r="II277" s="210"/>
      <c r="IJ277" s="210"/>
      <c r="IK277" s="210"/>
      <c r="IL277" s="210"/>
      <c r="IM277" s="210"/>
      <c r="IN277" s="210"/>
      <c r="IO277" s="210"/>
      <c r="IP277" s="210"/>
      <c r="IQ277" s="210"/>
      <c r="IR277" s="210"/>
      <c r="IS277" s="210"/>
      <c r="IT277" s="210"/>
      <c r="IU277" s="210"/>
      <c r="IV277" s="210"/>
      <c r="IW277" s="210"/>
    </row>
    <row r="278" spans="1:257" s="280" customFormat="1" ht="33" hidden="1">
      <c r="A278" s="246"/>
      <c r="B278" s="22" t="s">
        <v>141</v>
      </c>
      <c r="C278" s="23"/>
      <c r="D278" s="24"/>
      <c r="E278" s="25">
        <f>SUM(E279:E281)</f>
        <v>13297.925999999999</v>
      </c>
      <c r="F278" s="25">
        <f t="shared" ref="F278:N278" si="49">SUM(F279:F281)</f>
        <v>2200</v>
      </c>
      <c r="G278" s="25">
        <f t="shared" si="49"/>
        <v>1850</v>
      </c>
      <c r="H278" s="25">
        <f t="shared" si="49"/>
        <v>9247.9259999999995</v>
      </c>
      <c r="I278" s="25">
        <f t="shared" si="49"/>
        <v>10291.537</v>
      </c>
      <c r="J278" s="25">
        <f t="shared" si="49"/>
        <v>1608</v>
      </c>
      <c r="K278" s="25">
        <f t="shared" si="49"/>
        <v>10538.572</v>
      </c>
      <c r="L278" s="25">
        <f t="shared" si="49"/>
        <v>1608</v>
      </c>
      <c r="M278" s="25">
        <f t="shared" si="49"/>
        <v>1570</v>
      </c>
      <c r="N278" s="25">
        <f t="shared" si="49"/>
        <v>1608</v>
      </c>
      <c r="O278" s="211"/>
      <c r="P278" s="210"/>
      <c r="Q278" s="211"/>
      <c r="R278" s="211"/>
      <c r="S278" s="211"/>
      <c r="T278" s="211"/>
      <c r="U278" s="211"/>
      <c r="V278" s="211"/>
      <c r="W278" s="211"/>
      <c r="X278" s="211"/>
      <c r="Y278" s="211"/>
      <c r="Z278" s="211"/>
      <c r="AA278" s="210"/>
      <c r="AB278" s="210"/>
      <c r="AC278" s="210"/>
      <c r="AD278" s="210"/>
      <c r="AE278" s="210"/>
      <c r="AF278" s="210"/>
      <c r="AG278" s="210"/>
      <c r="AH278" s="210"/>
      <c r="AI278" s="210"/>
      <c r="AJ278" s="210"/>
      <c r="AK278" s="210"/>
      <c r="AL278" s="210"/>
      <c r="AM278" s="210"/>
      <c r="AN278" s="210"/>
      <c r="AO278" s="210"/>
      <c r="AP278" s="210"/>
      <c r="AQ278" s="210"/>
      <c r="AR278" s="210"/>
      <c r="AS278" s="210"/>
      <c r="AT278" s="210"/>
      <c r="AU278" s="210"/>
      <c r="AV278" s="210"/>
      <c r="AW278" s="210"/>
      <c r="AX278" s="210"/>
      <c r="AY278" s="210"/>
      <c r="AZ278" s="210"/>
      <c r="BA278" s="210"/>
      <c r="BB278" s="210"/>
      <c r="BC278" s="210"/>
      <c r="BD278" s="210"/>
      <c r="BE278" s="210"/>
      <c r="BF278" s="210"/>
      <c r="BG278" s="210"/>
      <c r="BH278" s="210"/>
      <c r="BI278" s="210"/>
      <c r="BJ278" s="210"/>
      <c r="BK278" s="210"/>
      <c r="BL278" s="210"/>
      <c r="BM278" s="210"/>
      <c r="BN278" s="210"/>
      <c r="BO278" s="210"/>
      <c r="BP278" s="210"/>
      <c r="BQ278" s="210"/>
      <c r="BR278" s="210"/>
      <c r="BS278" s="210"/>
      <c r="BT278" s="210"/>
      <c r="BU278" s="210"/>
      <c r="BV278" s="210"/>
      <c r="BW278" s="210"/>
      <c r="BX278" s="210"/>
      <c r="BY278" s="210"/>
      <c r="BZ278" s="210"/>
      <c r="CA278" s="210"/>
      <c r="CB278" s="210"/>
      <c r="CC278" s="210"/>
      <c r="CD278" s="210"/>
      <c r="CE278" s="210"/>
      <c r="CF278" s="210"/>
      <c r="CG278" s="210"/>
      <c r="CH278" s="210"/>
      <c r="CI278" s="210"/>
      <c r="CJ278" s="210"/>
      <c r="CK278" s="210"/>
      <c r="CL278" s="210"/>
      <c r="CM278" s="210"/>
      <c r="CN278" s="210"/>
      <c r="CO278" s="210"/>
      <c r="CP278" s="210"/>
      <c r="CQ278" s="210"/>
      <c r="CR278" s="210"/>
      <c r="CS278" s="210"/>
      <c r="CT278" s="210"/>
      <c r="CU278" s="210"/>
      <c r="CV278" s="210"/>
      <c r="CW278" s="210"/>
      <c r="CX278" s="210"/>
      <c r="CY278" s="210"/>
      <c r="CZ278" s="210"/>
      <c r="DA278" s="210"/>
      <c r="DB278" s="210"/>
      <c r="DC278" s="210"/>
      <c r="DD278" s="210"/>
      <c r="DE278" s="210"/>
      <c r="DF278" s="210"/>
      <c r="DG278" s="210"/>
      <c r="DH278" s="210"/>
      <c r="DI278" s="210"/>
      <c r="DJ278" s="210"/>
      <c r="DK278" s="210"/>
      <c r="DL278" s="210"/>
      <c r="DM278" s="210"/>
      <c r="DN278" s="210"/>
      <c r="DO278" s="210"/>
      <c r="DP278" s="210"/>
      <c r="DQ278" s="210"/>
      <c r="DR278" s="210"/>
      <c r="DS278" s="210"/>
      <c r="DT278" s="210"/>
      <c r="DU278" s="210"/>
      <c r="DV278" s="210"/>
      <c r="DW278" s="210"/>
      <c r="DX278" s="210"/>
      <c r="DY278" s="210"/>
      <c r="DZ278" s="210"/>
      <c r="EA278" s="210"/>
      <c r="EB278" s="210"/>
      <c r="EC278" s="210"/>
      <c r="ED278" s="210"/>
      <c r="EE278" s="210"/>
      <c r="EF278" s="210"/>
      <c r="EG278" s="210"/>
      <c r="EH278" s="210"/>
      <c r="EI278" s="210"/>
      <c r="EJ278" s="210"/>
      <c r="EK278" s="210"/>
      <c r="EL278" s="210"/>
      <c r="EM278" s="210"/>
      <c r="EN278" s="210"/>
      <c r="EO278" s="210"/>
      <c r="EP278" s="210"/>
      <c r="EQ278" s="210"/>
      <c r="ER278" s="210"/>
      <c r="ES278" s="210"/>
      <c r="ET278" s="210"/>
      <c r="EU278" s="210"/>
      <c r="EV278" s="210"/>
      <c r="EW278" s="210"/>
      <c r="EX278" s="210"/>
      <c r="EY278" s="210"/>
      <c r="EZ278" s="210"/>
      <c r="FA278" s="210"/>
      <c r="FB278" s="210"/>
      <c r="FC278" s="210"/>
      <c r="FD278" s="210"/>
      <c r="FE278" s="210"/>
      <c r="FF278" s="210"/>
      <c r="FG278" s="210"/>
      <c r="FH278" s="210"/>
      <c r="FI278" s="210"/>
      <c r="FJ278" s="210"/>
      <c r="FK278" s="210"/>
      <c r="FL278" s="210"/>
      <c r="FM278" s="210"/>
      <c r="FN278" s="210"/>
      <c r="FO278" s="210"/>
      <c r="FP278" s="210"/>
      <c r="FQ278" s="210"/>
      <c r="FR278" s="210"/>
      <c r="FS278" s="210"/>
      <c r="FT278" s="210"/>
      <c r="FU278" s="210"/>
      <c r="FV278" s="210"/>
      <c r="FW278" s="210"/>
      <c r="FX278" s="210"/>
      <c r="FY278" s="210"/>
      <c r="FZ278" s="210"/>
      <c r="GA278" s="210"/>
      <c r="GB278" s="210"/>
      <c r="GC278" s="210"/>
      <c r="GD278" s="210"/>
      <c r="GE278" s="210"/>
      <c r="GF278" s="210"/>
      <c r="GG278" s="210"/>
      <c r="GH278" s="210"/>
      <c r="GI278" s="210"/>
      <c r="GJ278" s="210"/>
      <c r="GK278" s="210"/>
      <c r="GL278" s="210"/>
      <c r="GM278" s="210"/>
      <c r="GN278" s="210"/>
      <c r="GO278" s="210"/>
      <c r="GP278" s="210"/>
      <c r="GQ278" s="210"/>
      <c r="GR278" s="210"/>
      <c r="GS278" s="210"/>
      <c r="GT278" s="210"/>
      <c r="GU278" s="210"/>
      <c r="GV278" s="210"/>
      <c r="GW278" s="210"/>
      <c r="GX278" s="210"/>
      <c r="GY278" s="210"/>
      <c r="GZ278" s="210"/>
      <c r="HA278" s="210"/>
      <c r="HB278" s="210"/>
      <c r="HC278" s="210"/>
      <c r="HD278" s="210"/>
      <c r="HE278" s="210"/>
      <c r="HF278" s="210"/>
      <c r="HG278" s="210"/>
      <c r="HH278" s="210"/>
      <c r="HI278" s="210"/>
      <c r="HJ278" s="210"/>
      <c r="HK278" s="210"/>
      <c r="HL278" s="210"/>
      <c r="HM278" s="210"/>
      <c r="HN278" s="210"/>
      <c r="HO278" s="210"/>
      <c r="HP278" s="210"/>
      <c r="HQ278" s="210"/>
      <c r="HR278" s="210"/>
      <c r="HS278" s="210"/>
      <c r="HT278" s="210"/>
      <c r="HU278" s="210"/>
      <c r="HV278" s="210"/>
      <c r="HW278" s="210"/>
      <c r="HX278" s="210"/>
      <c r="HY278" s="210"/>
      <c r="HZ278" s="210"/>
      <c r="IA278" s="210"/>
      <c r="IB278" s="210"/>
      <c r="IC278" s="210"/>
      <c r="ID278" s="210"/>
      <c r="IE278" s="210"/>
      <c r="IF278" s="210"/>
      <c r="IG278" s="210"/>
      <c r="IH278" s="210"/>
      <c r="II278" s="210"/>
      <c r="IJ278" s="210"/>
      <c r="IK278" s="210"/>
      <c r="IL278" s="210"/>
      <c r="IM278" s="210"/>
      <c r="IN278" s="210"/>
      <c r="IO278" s="210"/>
      <c r="IP278" s="210"/>
      <c r="IQ278" s="210"/>
      <c r="IR278" s="210"/>
      <c r="IS278" s="210"/>
      <c r="IT278" s="210"/>
      <c r="IU278" s="210"/>
      <c r="IV278" s="210"/>
      <c r="IW278" s="210"/>
    </row>
    <row r="279" spans="1:257" s="83" customFormat="1" ht="49.5" hidden="1">
      <c r="A279" s="46" t="s">
        <v>750</v>
      </c>
      <c r="B279" s="42" t="s">
        <v>751</v>
      </c>
      <c r="C279" s="46" t="s">
        <v>120</v>
      </c>
      <c r="D279" s="46" t="s">
        <v>752</v>
      </c>
      <c r="E279" s="54">
        <v>8946</v>
      </c>
      <c r="F279" s="46">
        <v>2000</v>
      </c>
      <c r="G279" s="44">
        <v>500</v>
      </c>
      <c r="H279" s="54">
        <f>+E279-F279-G279</f>
        <v>6446</v>
      </c>
      <c r="I279" s="33">
        <f>6434.817+38</f>
        <v>6472.817</v>
      </c>
      <c r="J279" s="33">
        <v>438</v>
      </c>
      <c r="K279" s="54">
        <v>6591.5720000000001</v>
      </c>
      <c r="L279" s="33">
        <f>+M279+38</f>
        <v>438</v>
      </c>
      <c r="M279" s="33">
        <v>400</v>
      </c>
      <c r="N279" s="33">
        <v>438</v>
      </c>
      <c r="O279" s="82"/>
      <c r="Q279" s="82"/>
      <c r="R279" s="82"/>
      <c r="S279" s="82"/>
      <c r="T279" s="82"/>
      <c r="U279" s="82"/>
      <c r="V279" s="82"/>
      <c r="W279" s="82"/>
      <c r="X279" s="82">
        <v>400</v>
      </c>
      <c r="Y279" s="82"/>
      <c r="Z279" s="82"/>
    </row>
    <row r="280" spans="1:257" s="83" customFormat="1" ht="49.5">
      <c r="A280" s="46" t="s">
        <v>750</v>
      </c>
      <c r="B280" s="42" t="s">
        <v>753</v>
      </c>
      <c r="C280" s="46" t="s">
        <v>120</v>
      </c>
      <c r="D280" s="46" t="s">
        <v>754</v>
      </c>
      <c r="E280" s="54">
        <v>3945.9259999999999</v>
      </c>
      <c r="F280" s="46">
        <v>200</v>
      </c>
      <c r="G280" s="44">
        <v>1000</v>
      </c>
      <c r="H280" s="54">
        <f>+E280-F280-G280</f>
        <v>2745.9259999999999</v>
      </c>
      <c r="I280" s="33">
        <v>3444.72</v>
      </c>
      <c r="J280" s="33">
        <v>820</v>
      </c>
      <c r="K280" s="54">
        <v>3597</v>
      </c>
      <c r="L280" s="33">
        <v>820</v>
      </c>
      <c r="M280" s="33">
        <v>820</v>
      </c>
      <c r="N280" s="33">
        <v>820</v>
      </c>
      <c r="O280" s="82"/>
      <c r="P280" s="83">
        <v>1</v>
      </c>
      <c r="Q280" s="82"/>
      <c r="R280" s="82"/>
      <c r="S280" s="82"/>
      <c r="T280" s="82"/>
      <c r="U280" s="82"/>
      <c r="V280" s="82"/>
      <c r="W280" s="82"/>
      <c r="X280" s="82">
        <v>700</v>
      </c>
      <c r="Y280" s="82"/>
      <c r="Z280" s="82"/>
    </row>
    <row r="281" spans="1:257" s="83" customFormat="1" ht="49.5" hidden="1">
      <c r="A281" s="46" t="s">
        <v>750</v>
      </c>
      <c r="B281" s="42" t="s">
        <v>755</v>
      </c>
      <c r="C281" s="46" t="s">
        <v>120</v>
      </c>
      <c r="D281" s="46" t="s">
        <v>627</v>
      </c>
      <c r="E281" s="54">
        <v>406</v>
      </c>
      <c r="F281" s="46">
        <v>0</v>
      </c>
      <c r="G281" s="44">
        <v>350</v>
      </c>
      <c r="H281" s="54">
        <f>+E281-F281-G281</f>
        <v>56</v>
      </c>
      <c r="I281" s="33">
        <v>374</v>
      </c>
      <c r="J281" s="33">
        <v>350</v>
      </c>
      <c r="K281" s="54">
        <v>350</v>
      </c>
      <c r="L281" s="33">
        <v>350</v>
      </c>
      <c r="M281" s="33">
        <v>350</v>
      </c>
      <c r="N281" s="33">
        <v>350</v>
      </c>
      <c r="O281" s="82"/>
      <c r="Q281" s="82"/>
      <c r="R281" s="82"/>
      <c r="S281" s="82"/>
      <c r="T281" s="82"/>
      <c r="U281" s="82"/>
      <c r="V281" s="82"/>
      <c r="W281" s="82"/>
      <c r="X281" s="82">
        <v>350</v>
      </c>
      <c r="Y281" s="82"/>
      <c r="Z281" s="82"/>
    </row>
    <row r="282" spans="1:257" s="280" customFormat="1" ht="33" hidden="1">
      <c r="A282" s="246"/>
      <c r="B282" s="22" t="s">
        <v>335</v>
      </c>
      <c r="C282" s="23"/>
      <c r="D282" s="24"/>
      <c r="E282" s="25">
        <f t="shared" ref="E282:N282" si="50">SUM(E283:E287)</f>
        <v>3768</v>
      </c>
      <c r="F282" s="25">
        <f t="shared" si="50"/>
        <v>400</v>
      </c>
      <c r="G282" s="25">
        <f t="shared" si="50"/>
        <v>2250</v>
      </c>
      <c r="H282" s="25">
        <f t="shared" si="50"/>
        <v>1118</v>
      </c>
      <c r="I282" s="25">
        <f t="shared" si="50"/>
        <v>3000</v>
      </c>
      <c r="J282" s="25">
        <f t="shared" si="50"/>
        <v>2380</v>
      </c>
      <c r="K282" s="25">
        <f t="shared" si="50"/>
        <v>3359</v>
      </c>
      <c r="L282" s="25">
        <f t="shared" si="50"/>
        <v>3000</v>
      </c>
      <c r="M282" s="25">
        <f t="shared" si="50"/>
        <v>2380</v>
      </c>
      <c r="N282" s="25">
        <f t="shared" si="50"/>
        <v>2380</v>
      </c>
      <c r="O282" s="211"/>
      <c r="P282" s="210"/>
      <c r="Q282" s="211"/>
      <c r="R282" s="211"/>
      <c r="S282" s="211"/>
      <c r="T282" s="211"/>
      <c r="U282" s="211"/>
      <c r="V282" s="211"/>
      <c r="W282" s="211"/>
      <c r="X282" s="211"/>
      <c r="Y282" s="211"/>
      <c r="Z282" s="211"/>
      <c r="AA282" s="210"/>
      <c r="AB282" s="210"/>
      <c r="AC282" s="210"/>
      <c r="AD282" s="210"/>
      <c r="AE282" s="210"/>
      <c r="AF282" s="210"/>
      <c r="AG282" s="210"/>
      <c r="AH282" s="210"/>
      <c r="AI282" s="210"/>
      <c r="AJ282" s="210"/>
      <c r="AK282" s="210"/>
      <c r="AL282" s="210"/>
      <c r="AM282" s="210"/>
      <c r="AN282" s="210"/>
      <c r="AO282" s="210"/>
      <c r="AP282" s="210"/>
      <c r="AQ282" s="210"/>
      <c r="AR282" s="210"/>
      <c r="AS282" s="210"/>
      <c r="AT282" s="210"/>
      <c r="AU282" s="210"/>
      <c r="AV282" s="210"/>
      <c r="AW282" s="210"/>
      <c r="AX282" s="210"/>
      <c r="AY282" s="210"/>
      <c r="AZ282" s="210"/>
      <c r="BA282" s="210"/>
      <c r="BB282" s="210"/>
      <c r="BC282" s="210"/>
      <c r="BD282" s="210"/>
      <c r="BE282" s="210"/>
      <c r="BF282" s="210"/>
      <c r="BG282" s="210"/>
      <c r="BH282" s="210"/>
      <c r="BI282" s="210"/>
      <c r="BJ282" s="210"/>
      <c r="BK282" s="210"/>
      <c r="BL282" s="210"/>
      <c r="BM282" s="210"/>
      <c r="BN282" s="210"/>
      <c r="BO282" s="210"/>
      <c r="BP282" s="210"/>
      <c r="BQ282" s="210"/>
      <c r="BR282" s="210"/>
      <c r="BS282" s="210"/>
      <c r="BT282" s="210"/>
      <c r="BU282" s="210"/>
      <c r="BV282" s="210"/>
      <c r="BW282" s="210"/>
      <c r="BX282" s="210"/>
      <c r="BY282" s="210"/>
      <c r="BZ282" s="210"/>
      <c r="CA282" s="210"/>
      <c r="CB282" s="210"/>
      <c r="CC282" s="210"/>
      <c r="CD282" s="210"/>
      <c r="CE282" s="210"/>
      <c r="CF282" s="210"/>
      <c r="CG282" s="210"/>
      <c r="CH282" s="210"/>
      <c r="CI282" s="210"/>
      <c r="CJ282" s="210"/>
      <c r="CK282" s="210"/>
      <c r="CL282" s="210"/>
      <c r="CM282" s="210"/>
      <c r="CN282" s="210"/>
      <c r="CO282" s="210"/>
      <c r="CP282" s="210"/>
      <c r="CQ282" s="210"/>
      <c r="CR282" s="210"/>
      <c r="CS282" s="210"/>
      <c r="CT282" s="210"/>
      <c r="CU282" s="210"/>
      <c r="CV282" s="210"/>
      <c r="CW282" s="210"/>
      <c r="CX282" s="210"/>
      <c r="CY282" s="210"/>
      <c r="CZ282" s="210"/>
      <c r="DA282" s="210"/>
      <c r="DB282" s="210"/>
      <c r="DC282" s="210"/>
      <c r="DD282" s="210"/>
      <c r="DE282" s="210"/>
      <c r="DF282" s="210"/>
      <c r="DG282" s="210"/>
      <c r="DH282" s="210"/>
      <c r="DI282" s="210"/>
      <c r="DJ282" s="210"/>
      <c r="DK282" s="210"/>
      <c r="DL282" s="210"/>
      <c r="DM282" s="210"/>
      <c r="DN282" s="210"/>
      <c r="DO282" s="210"/>
      <c r="DP282" s="210"/>
      <c r="DQ282" s="210"/>
      <c r="DR282" s="210"/>
      <c r="DS282" s="210"/>
      <c r="DT282" s="210"/>
      <c r="DU282" s="210"/>
      <c r="DV282" s="210"/>
      <c r="DW282" s="210"/>
      <c r="DX282" s="210"/>
      <c r="DY282" s="210"/>
      <c r="DZ282" s="210"/>
      <c r="EA282" s="210"/>
      <c r="EB282" s="210"/>
      <c r="EC282" s="210"/>
      <c r="ED282" s="210"/>
      <c r="EE282" s="210"/>
      <c r="EF282" s="210"/>
      <c r="EG282" s="210"/>
      <c r="EH282" s="210"/>
      <c r="EI282" s="210"/>
      <c r="EJ282" s="210"/>
      <c r="EK282" s="210"/>
      <c r="EL282" s="210"/>
      <c r="EM282" s="210"/>
      <c r="EN282" s="210"/>
      <c r="EO282" s="210"/>
      <c r="EP282" s="210"/>
      <c r="EQ282" s="210"/>
      <c r="ER282" s="210"/>
      <c r="ES282" s="210"/>
      <c r="ET282" s="210"/>
      <c r="EU282" s="210"/>
      <c r="EV282" s="210"/>
      <c r="EW282" s="210"/>
      <c r="EX282" s="210"/>
      <c r="EY282" s="210"/>
      <c r="EZ282" s="210"/>
      <c r="FA282" s="210"/>
      <c r="FB282" s="210"/>
      <c r="FC282" s="210"/>
      <c r="FD282" s="210"/>
      <c r="FE282" s="210"/>
      <c r="FF282" s="210"/>
      <c r="FG282" s="210"/>
      <c r="FH282" s="210"/>
      <c r="FI282" s="210"/>
      <c r="FJ282" s="210"/>
      <c r="FK282" s="210"/>
      <c r="FL282" s="210"/>
      <c r="FM282" s="210"/>
      <c r="FN282" s="210"/>
      <c r="FO282" s="210"/>
      <c r="FP282" s="210"/>
      <c r="FQ282" s="210"/>
      <c r="FR282" s="210"/>
      <c r="FS282" s="210"/>
      <c r="FT282" s="210"/>
      <c r="FU282" s="210"/>
      <c r="FV282" s="210"/>
      <c r="FW282" s="210"/>
      <c r="FX282" s="210"/>
      <c r="FY282" s="210"/>
      <c r="FZ282" s="210"/>
      <c r="GA282" s="210"/>
      <c r="GB282" s="210"/>
      <c r="GC282" s="210"/>
      <c r="GD282" s="210"/>
      <c r="GE282" s="210"/>
      <c r="GF282" s="210"/>
      <c r="GG282" s="210"/>
      <c r="GH282" s="210"/>
      <c r="GI282" s="210"/>
      <c r="GJ282" s="210"/>
      <c r="GK282" s="210"/>
      <c r="GL282" s="210"/>
      <c r="GM282" s="210"/>
      <c r="GN282" s="210"/>
      <c r="GO282" s="210"/>
      <c r="GP282" s="210"/>
      <c r="GQ282" s="210"/>
      <c r="GR282" s="210"/>
      <c r="GS282" s="210"/>
      <c r="GT282" s="210"/>
      <c r="GU282" s="210"/>
      <c r="GV282" s="210"/>
      <c r="GW282" s="210"/>
      <c r="GX282" s="210"/>
      <c r="GY282" s="210"/>
      <c r="GZ282" s="210"/>
      <c r="HA282" s="210"/>
      <c r="HB282" s="210"/>
      <c r="HC282" s="210"/>
      <c r="HD282" s="210"/>
      <c r="HE282" s="210"/>
      <c r="HF282" s="210"/>
      <c r="HG282" s="210"/>
      <c r="HH282" s="210"/>
      <c r="HI282" s="210"/>
      <c r="HJ282" s="210"/>
      <c r="HK282" s="210"/>
      <c r="HL282" s="210"/>
      <c r="HM282" s="210"/>
      <c r="HN282" s="210"/>
      <c r="HO282" s="210"/>
      <c r="HP282" s="210"/>
      <c r="HQ282" s="210"/>
      <c r="HR282" s="210"/>
      <c r="HS282" s="210"/>
      <c r="HT282" s="210"/>
      <c r="HU282" s="210"/>
      <c r="HV282" s="210"/>
      <c r="HW282" s="210"/>
      <c r="HX282" s="210"/>
      <c r="HY282" s="210"/>
      <c r="HZ282" s="210"/>
      <c r="IA282" s="210"/>
      <c r="IB282" s="210"/>
      <c r="IC282" s="210"/>
      <c r="ID282" s="210"/>
      <c r="IE282" s="210"/>
      <c r="IF282" s="210"/>
      <c r="IG282" s="210"/>
      <c r="IH282" s="210"/>
      <c r="II282" s="210"/>
      <c r="IJ282" s="210"/>
      <c r="IK282" s="210"/>
      <c r="IL282" s="210"/>
      <c r="IM282" s="210"/>
      <c r="IN282" s="210"/>
      <c r="IO282" s="210"/>
      <c r="IP282" s="210"/>
      <c r="IQ282" s="210"/>
      <c r="IR282" s="210"/>
      <c r="IS282" s="210"/>
      <c r="IT282" s="210"/>
      <c r="IU282" s="210"/>
      <c r="IV282" s="210"/>
      <c r="IW282" s="210"/>
    </row>
    <row r="283" spans="1:257" s="83" customFormat="1" ht="49.5" hidden="1">
      <c r="A283" s="46"/>
      <c r="B283" s="78" t="s">
        <v>620</v>
      </c>
      <c r="C283" s="46" t="s">
        <v>625</v>
      </c>
      <c r="D283" s="46" t="s">
        <v>626</v>
      </c>
      <c r="E283" s="54">
        <v>1162</v>
      </c>
      <c r="F283" s="46"/>
      <c r="G283" s="44">
        <v>750</v>
      </c>
      <c r="H283" s="54">
        <f>+E283-G283-F283</f>
        <v>412</v>
      </c>
      <c r="I283" s="54">
        <v>1005</v>
      </c>
      <c r="J283" s="33">
        <v>950</v>
      </c>
      <c r="K283" s="54">
        <v>1074</v>
      </c>
      <c r="L283" s="54">
        <v>1005</v>
      </c>
      <c r="M283" s="33">
        <v>950</v>
      </c>
      <c r="N283" s="33">
        <v>950</v>
      </c>
      <c r="O283" s="82"/>
      <c r="Q283" s="82"/>
      <c r="R283" s="82"/>
      <c r="S283" s="82"/>
      <c r="T283" s="82"/>
      <c r="U283" s="82"/>
      <c r="V283" s="82"/>
      <c r="W283" s="82"/>
      <c r="X283" s="82"/>
      <c r="Y283" s="82"/>
      <c r="Z283" s="82"/>
    </row>
    <row r="284" spans="1:257" s="83" customFormat="1" ht="49.5" hidden="1">
      <c r="A284" s="46"/>
      <c r="B284" s="78" t="s">
        <v>621</v>
      </c>
      <c r="C284" s="174" t="s">
        <v>625</v>
      </c>
      <c r="D284" s="46" t="s">
        <v>627</v>
      </c>
      <c r="E284" s="54">
        <v>406</v>
      </c>
      <c r="F284" s="46"/>
      <c r="G284" s="44">
        <v>750</v>
      </c>
      <c r="H284" s="54">
        <f>+E284-G284-F284</f>
        <v>-344</v>
      </c>
      <c r="I284" s="54">
        <v>350</v>
      </c>
      <c r="J284" s="33">
        <v>350</v>
      </c>
      <c r="K284" s="54">
        <v>374</v>
      </c>
      <c r="L284" s="54">
        <v>350</v>
      </c>
      <c r="M284" s="33">
        <v>350</v>
      </c>
      <c r="N284" s="33">
        <v>350</v>
      </c>
      <c r="O284" s="82"/>
      <c r="Q284" s="82"/>
      <c r="R284" s="82"/>
      <c r="S284" s="82"/>
      <c r="T284" s="82"/>
      <c r="U284" s="82"/>
      <c r="V284" s="82"/>
      <c r="W284" s="82"/>
      <c r="X284" s="82"/>
      <c r="Y284" s="82"/>
      <c r="Z284" s="82"/>
    </row>
    <row r="285" spans="1:257" s="83" customFormat="1" ht="49.5" hidden="1">
      <c r="A285" s="46"/>
      <c r="B285" s="78" t="s">
        <v>622</v>
      </c>
      <c r="C285" s="174" t="s">
        <v>186</v>
      </c>
      <c r="D285" s="46" t="s">
        <v>628</v>
      </c>
      <c r="E285" s="54">
        <v>841</v>
      </c>
      <c r="F285" s="46"/>
      <c r="G285" s="44">
        <v>750</v>
      </c>
      <c r="H285" s="54">
        <f>+E285-G285-F285</f>
        <v>91</v>
      </c>
      <c r="I285" s="54">
        <v>500</v>
      </c>
      <c r="J285" s="33">
        <v>500</v>
      </c>
      <c r="K285" s="54">
        <v>664</v>
      </c>
      <c r="L285" s="54">
        <v>500</v>
      </c>
      <c r="M285" s="33">
        <v>500</v>
      </c>
      <c r="N285" s="33">
        <v>500</v>
      </c>
      <c r="O285" s="82"/>
      <c r="Q285" s="82"/>
      <c r="R285" s="82"/>
      <c r="S285" s="82"/>
      <c r="T285" s="82"/>
      <c r="U285" s="82"/>
      <c r="V285" s="82"/>
      <c r="W285" s="82"/>
      <c r="X285" s="82"/>
      <c r="Y285" s="82"/>
      <c r="Z285" s="82"/>
    </row>
    <row r="286" spans="1:257" s="83" customFormat="1" ht="49.5" hidden="1">
      <c r="A286" s="114"/>
      <c r="B286" s="78" t="s">
        <v>623</v>
      </c>
      <c r="C286" s="175" t="s">
        <v>206</v>
      </c>
      <c r="D286" s="46" t="s">
        <v>629</v>
      </c>
      <c r="E286" s="91">
        <v>700</v>
      </c>
      <c r="F286" s="47">
        <v>400</v>
      </c>
      <c r="G286" s="164"/>
      <c r="H286" s="54">
        <f>+E286-G286-F286</f>
        <v>300</v>
      </c>
      <c r="I286" s="144">
        <v>530</v>
      </c>
      <c r="J286" s="113">
        <v>130</v>
      </c>
      <c r="K286" s="113">
        <v>632</v>
      </c>
      <c r="L286" s="144">
        <v>530</v>
      </c>
      <c r="M286" s="113">
        <v>130</v>
      </c>
      <c r="N286" s="113">
        <v>130</v>
      </c>
      <c r="O286" s="163"/>
      <c r="Q286" s="82"/>
      <c r="R286" s="82"/>
      <c r="S286" s="82"/>
      <c r="T286" s="82"/>
      <c r="U286" s="82"/>
      <c r="V286" s="82"/>
      <c r="W286" s="82"/>
      <c r="X286" s="82"/>
      <c r="Y286" s="82"/>
      <c r="Z286" s="82"/>
    </row>
    <row r="287" spans="1:257" s="83" customFormat="1" ht="49.5" hidden="1">
      <c r="A287" s="114"/>
      <c r="B287" s="78" t="s">
        <v>624</v>
      </c>
      <c r="C287" s="175" t="s">
        <v>246</v>
      </c>
      <c r="D287" s="46" t="s">
        <v>630</v>
      </c>
      <c r="E287" s="91">
        <v>659</v>
      </c>
      <c r="F287" s="47"/>
      <c r="G287" s="164"/>
      <c r="H287" s="54">
        <f>+E287-G287-F287</f>
        <v>659</v>
      </c>
      <c r="I287" s="144">
        <v>615</v>
      </c>
      <c r="J287" s="113">
        <v>450</v>
      </c>
      <c r="K287" s="113">
        <v>615</v>
      </c>
      <c r="L287" s="144">
        <v>615</v>
      </c>
      <c r="M287" s="113">
        <v>450</v>
      </c>
      <c r="N287" s="113">
        <v>450</v>
      </c>
      <c r="O287" s="163"/>
      <c r="Q287" s="82"/>
      <c r="R287" s="82"/>
      <c r="S287" s="82"/>
      <c r="T287" s="82"/>
      <c r="U287" s="82"/>
      <c r="V287" s="82"/>
      <c r="W287" s="82"/>
      <c r="X287" s="82"/>
      <c r="Y287" s="82"/>
      <c r="Z287" s="82"/>
    </row>
    <row r="288" spans="1:257" s="210" customFormat="1" ht="16.5" hidden="1">
      <c r="A288" s="167" t="s">
        <v>711</v>
      </c>
      <c r="B288" s="266" t="s">
        <v>665</v>
      </c>
      <c r="C288" s="23"/>
      <c r="D288" s="168"/>
      <c r="E288" s="169">
        <f>+E289+E290+E291</f>
        <v>33880.267</v>
      </c>
      <c r="F288" s="169">
        <f t="shared" ref="F288:N288" si="51">+F289+F290+F291</f>
        <v>4084</v>
      </c>
      <c r="G288" s="169">
        <f t="shared" si="51"/>
        <v>8640.7868999999992</v>
      </c>
      <c r="H288" s="169">
        <f t="shared" si="51"/>
        <v>22055.480100000001</v>
      </c>
      <c r="I288" s="169">
        <f t="shared" si="51"/>
        <v>27288.238000000001</v>
      </c>
      <c r="J288" s="169">
        <f t="shared" si="51"/>
        <v>9240.7868999999992</v>
      </c>
      <c r="K288" s="169">
        <f t="shared" si="51"/>
        <v>31524.066999999999</v>
      </c>
      <c r="L288" s="169">
        <f t="shared" si="51"/>
        <v>25441.438000000002</v>
      </c>
      <c r="M288" s="169">
        <f t="shared" si="51"/>
        <v>9169</v>
      </c>
      <c r="N288" s="169">
        <f t="shared" si="51"/>
        <v>9240.7868999999992</v>
      </c>
      <c r="O288" s="171"/>
      <c r="Q288" s="211"/>
      <c r="R288" s="211"/>
      <c r="S288" s="211"/>
      <c r="T288" s="211"/>
      <c r="U288" s="211"/>
      <c r="V288" s="211"/>
      <c r="W288" s="211"/>
      <c r="X288" s="211"/>
      <c r="Y288" s="211"/>
      <c r="Z288" s="211"/>
    </row>
    <row r="289" spans="1:257" s="280" customFormat="1" ht="49.5" hidden="1">
      <c r="A289" s="246"/>
      <c r="B289" s="73" t="s">
        <v>379</v>
      </c>
      <c r="C289" s="247"/>
      <c r="D289" s="247"/>
      <c r="E289" s="37"/>
      <c r="F289" s="37"/>
      <c r="G289" s="37"/>
      <c r="H289" s="37"/>
      <c r="I289" s="37"/>
      <c r="J289" s="37"/>
      <c r="K289" s="37"/>
      <c r="L289" s="37"/>
      <c r="M289" s="37"/>
      <c r="N289" s="37"/>
      <c r="O289" s="211"/>
      <c r="P289" s="210"/>
      <c r="Q289" s="211"/>
      <c r="R289" s="211"/>
      <c r="S289" s="211"/>
      <c r="T289" s="211"/>
      <c r="U289" s="211"/>
      <c r="V289" s="211"/>
      <c r="W289" s="211"/>
      <c r="X289" s="211"/>
      <c r="Y289" s="211"/>
      <c r="Z289" s="211"/>
      <c r="AA289" s="210"/>
      <c r="AB289" s="210"/>
      <c r="AC289" s="210"/>
      <c r="AD289" s="210"/>
      <c r="AE289" s="210"/>
      <c r="AF289" s="210"/>
      <c r="AG289" s="210"/>
      <c r="AH289" s="210"/>
      <c r="AI289" s="210"/>
      <c r="AJ289" s="210"/>
      <c r="AK289" s="210"/>
      <c r="AL289" s="210"/>
      <c r="AM289" s="210"/>
      <c r="AN289" s="210"/>
      <c r="AO289" s="210"/>
      <c r="AP289" s="210"/>
      <c r="AQ289" s="210"/>
      <c r="AR289" s="210"/>
      <c r="AS289" s="210"/>
      <c r="AT289" s="210"/>
      <c r="AU289" s="210"/>
      <c r="AV289" s="210"/>
      <c r="AW289" s="210"/>
      <c r="AX289" s="210"/>
      <c r="AY289" s="210"/>
      <c r="AZ289" s="210"/>
      <c r="BA289" s="210"/>
      <c r="BB289" s="210"/>
      <c r="BC289" s="210"/>
      <c r="BD289" s="210"/>
      <c r="BE289" s="210"/>
      <c r="BF289" s="210"/>
      <c r="BG289" s="210"/>
      <c r="BH289" s="210"/>
      <c r="BI289" s="210"/>
      <c r="BJ289" s="210"/>
      <c r="BK289" s="210"/>
      <c r="BL289" s="210"/>
      <c r="BM289" s="210"/>
      <c r="BN289" s="210"/>
      <c r="BO289" s="210"/>
      <c r="BP289" s="210"/>
      <c r="BQ289" s="210"/>
      <c r="BR289" s="210"/>
      <c r="BS289" s="210"/>
      <c r="BT289" s="210"/>
      <c r="BU289" s="210"/>
      <c r="BV289" s="210"/>
      <c r="BW289" s="210"/>
      <c r="BX289" s="210"/>
      <c r="BY289" s="210"/>
      <c r="BZ289" s="210"/>
      <c r="CA289" s="210"/>
      <c r="CB289" s="210"/>
      <c r="CC289" s="210"/>
      <c r="CD289" s="210"/>
      <c r="CE289" s="210"/>
      <c r="CF289" s="210"/>
      <c r="CG289" s="210"/>
      <c r="CH289" s="210"/>
      <c r="CI289" s="210"/>
      <c r="CJ289" s="210"/>
      <c r="CK289" s="210"/>
      <c r="CL289" s="210"/>
      <c r="CM289" s="210"/>
      <c r="CN289" s="210"/>
      <c r="CO289" s="210"/>
      <c r="CP289" s="210"/>
      <c r="CQ289" s="210"/>
      <c r="CR289" s="210"/>
      <c r="CS289" s="210"/>
      <c r="CT289" s="210"/>
      <c r="CU289" s="210"/>
      <c r="CV289" s="210"/>
      <c r="CW289" s="210"/>
      <c r="CX289" s="210"/>
      <c r="CY289" s="210"/>
      <c r="CZ289" s="210"/>
      <c r="DA289" s="210"/>
      <c r="DB289" s="210"/>
      <c r="DC289" s="210"/>
      <c r="DD289" s="210"/>
      <c r="DE289" s="210"/>
      <c r="DF289" s="210"/>
      <c r="DG289" s="210"/>
      <c r="DH289" s="210"/>
      <c r="DI289" s="210"/>
      <c r="DJ289" s="210"/>
      <c r="DK289" s="210"/>
      <c r="DL289" s="210"/>
      <c r="DM289" s="210"/>
      <c r="DN289" s="210"/>
      <c r="DO289" s="210"/>
      <c r="DP289" s="210"/>
      <c r="DQ289" s="210"/>
      <c r="DR289" s="210"/>
      <c r="DS289" s="210"/>
      <c r="DT289" s="210"/>
      <c r="DU289" s="210"/>
      <c r="DV289" s="210"/>
      <c r="DW289" s="210"/>
      <c r="DX289" s="210"/>
      <c r="DY289" s="210"/>
      <c r="DZ289" s="210"/>
      <c r="EA289" s="210"/>
      <c r="EB289" s="210"/>
      <c r="EC289" s="210"/>
      <c r="ED289" s="210"/>
      <c r="EE289" s="210"/>
      <c r="EF289" s="210"/>
      <c r="EG289" s="210"/>
      <c r="EH289" s="210"/>
      <c r="EI289" s="210"/>
      <c r="EJ289" s="210"/>
      <c r="EK289" s="210"/>
      <c r="EL289" s="210"/>
      <c r="EM289" s="210"/>
      <c r="EN289" s="210"/>
      <c r="EO289" s="210"/>
      <c r="EP289" s="210"/>
      <c r="EQ289" s="210"/>
      <c r="ER289" s="210"/>
      <c r="ES289" s="210"/>
      <c r="ET289" s="210"/>
      <c r="EU289" s="210"/>
      <c r="EV289" s="210"/>
      <c r="EW289" s="210"/>
      <c r="EX289" s="210"/>
      <c r="EY289" s="210"/>
      <c r="EZ289" s="210"/>
      <c r="FA289" s="210"/>
      <c r="FB289" s="210"/>
      <c r="FC289" s="210"/>
      <c r="FD289" s="210"/>
      <c r="FE289" s="210"/>
      <c r="FF289" s="210"/>
      <c r="FG289" s="210"/>
      <c r="FH289" s="210"/>
      <c r="FI289" s="210"/>
      <c r="FJ289" s="210"/>
      <c r="FK289" s="210"/>
      <c r="FL289" s="210"/>
      <c r="FM289" s="210"/>
      <c r="FN289" s="210"/>
      <c r="FO289" s="210"/>
      <c r="FP289" s="210"/>
      <c r="FQ289" s="210"/>
      <c r="FR289" s="210"/>
      <c r="FS289" s="210"/>
      <c r="FT289" s="210"/>
      <c r="FU289" s="210"/>
      <c r="FV289" s="210"/>
      <c r="FW289" s="210"/>
      <c r="FX289" s="210"/>
      <c r="FY289" s="210"/>
      <c r="FZ289" s="210"/>
      <c r="GA289" s="210"/>
      <c r="GB289" s="210"/>
      <c r="GC289" s="210"/>
      <c r="GD289" s="210"/>
      <c r="GE289" s="210"/>
      <c r="GF289" s="210"/>
      <c r="GG289" s="210"/>
      <c r="GH289" s="210"/>
      <c r="GI289" s="210"/>
      <c r="GJ289" s="210"/>
      <c r="GK289" s="210"/>
      <c r="GL289" s="210"/>
      <c r="GM289" s="210"/>
      <c r="GN289" s="210"/>
      <c r="GO289" s="210"/>
      <c r="GP289" s="210"/>
      <c r="GQ289" s="210"/>
      <c r="GR289" s="210"/>
      <c r="GS289" s="210"/>
      <c r="GT289" s="210"/>
      <c r="GU289" s="210"/>
      <c r="GV289" s="210"/>
      <c r="GW289" s="210"/>
      <c r="GX289" s="210"/>
      <c r="GY289" s="210"/>
      <c r="GZ289" s="210"/>
      <c r="HA289" s="210"/>
      <c r="HB289" s="210"/>
      <c r="HC289" s="210"/>
      <c r="HD289" s="210"/>
      <c r="HE289" s="210"/>
      <c r="HF289" s="210"/>
      <c r="HG289" s="210"/>
      <c r="HH289" s="210"/>
      <c r="HI289" s="210"/>
      <c r="HJ289" s="210"/>
      <c r="HK289" s="210"/>
      <c r="HL289" s="210"/>
      <c r="HM289" s="210"/>
      <c r="HN289" s="210"/>
      <c r="HO289" s="210"/>
      <c r="HP289" s="210"/>
      <c r="HQ289" s="210"/>
      <c r="HR289" s="210"/>
      <c r="HS289" s="210"/>
      <c r="HT289" s="210"/>
      <c r="HU289" s="210"/>
      <c r="HV289" s="210"/>
      <c r="HW289" s="210"/>
      <c r="HX289" s="210"/>
      <c r="HY289" s="210"/>
      <c r="HZ289" s="210"/>
      <c r="IA289" s="210"/>
      <c r="IB289" s="210"/>
      <c r="IC289" s="210"/>
      <c r="ID289" s="210"/>
      <c r="IE289" s="210"/>
      <c r="IF289" s="210"/>
      <c r="IG289" s="210"/>
      <c r="IH289" s="210"/>
      <c r="II289" s="210"/>
      <c r="IJ289" s="210"/>
      <c r="IK289" s="210"/>
      <c r="IL289" s="210"/>
      <c r="IM289" s="210"/>
      <c r="IN289" s="210"/>
      <c r="IO289" s="210"/>
      <c r="IP289" s="210"/>
      <c r="IQ289" s="210"/>
      <c r="IR289" s="210"/>
      <c r="IS289" s="210"/>
      <c r="IT289" s="210"/>
      <c r="IU289" s="210"/>
      <c r="IV289" s="210"/>
      <c r="IW289" s="210"/>
    </row>
    <row r="290" spans="1:257" s="280" customFormat="1" ht="33" hidden="1">
      <c r="A290" s="246"/>
      <c r="B290" s="22" t="s">
        <v>141</v>
      </c>
      <c r="C290" s="23"/>
      <c r="D290" s="24"/>
      <c r="E290" s="25"/>
      <c r="F290" s="25"/>
      <c r="G290" s="25"/>
      <c r="H290" s="25"/>
      <c r="I290" s="25"/>
      <c r="J290" s="25"/>
      <c r="K290" s="25"/>
      <c r="L290" s="25"/>
      <c r="M290" s="25"/>
      <c r="N290" s="25"/>
      <c r="O290" s="211"/>
      <c r="P290" s="210"/>
      <c r="Q290" s="211"/>
      <c r="R290" s="211"/>
      <c r="S290" s="211"/>
      <c r="T290" s="211"/>
      <c r="U290" s="211"/>
      <c r="V290" s="211"/>
      <c r="W290" s="211"/>
      <c r="X290" s="211"/>
      <c r="Y290" s="211"/>
      <c r="Z290" s="211"/>
      <c r="AA290" s="210"/>
      <c r="AB290" s="210"/>
      <c r="AC290" s="210"/>
      <c r="AD290" s="210"/>
      <c r="AE290" s="210"/>
      <c r="AF290" s="210"/>
      <c r="AG290" s="210"/>
      <c r="AH290" s="210"/>
      <c r="AI290" s="210"/>
      <c r="AJ290" s="210"/>
      <c r="AK290" s="210"/>
      <c r="AL290" s="210"/>
      <c r="AM290" s="210"/>
      <c r="AN290" s="210"/>
      <c r="AO290" s="210"/>
      <c r="AP290" s="210"/>
      <c r="AQ290" s="210"/>
      <c r="AR290" s="210"/>
      <c r="AS290" s="210"/>
      <c r="AT290" s="210"/>
      <c r="AU290" s="210"/>
      <c r="AV290" s="210"/>
      <c r="AW290" s="210"/>
      <c r="AX290" s="210"/>
      <c r="AY290" s="210"/>
      <c r="AZ290" s="210"/>
      <c r="BA290" s="210"/>
      <c r="BB290" s="210"/>
      <c r="BC290" s="210"/>
      <c r="BD290" s="210"/>
      <c r="BE290" s="210"/>
      <c r="BF290" s="210"/>
      <c r="BG290" s="210"/>
      <c r="BH290" s="210"/>
      <c r="BI290" s="210"/>
      <c r="BJ290" s="210"/>
      <c r="BK290" s="210"/>
      <c r="BL290" s="210"/>
      <c r="BM290" s="210"/>
      <c r="BN290" s="210"/>
      <c r="BO290" s="210"/>
      <c r="BP290" s="210"/>
      <c r="BQ290" s="210"/>
      <c r="BR290" s="210"/>
      <c r="BS290" s="210"/>
      <c r="BT290" s="210"/>
      <c r="BU290" s="210"/>
      <c r="BV290" s="210"/>
      <c r="BW290" s="210"/>
      <c r="BX290" s="210"/>
      <c r="BY290" s="210"/>
      <c r="BZ290" s="210"/>
      <c r="CA290" s="210"/>
      <c r="CB290" s="210"/>
      <c r="CC290" s="210"/>
      <c r="CD290" s="210"/>
      <c r="CE290" s="210"/>
      <c r="CF290" s="210"/>
      <c r="CG290" s="210"/>
      <c r="CH290" s="210"/>
      <c r="CI290" s="210"/>
      <c r="CJ290" s="210"/>
      <c r="CK290" s="210"/>
      <c r="CL290" s="210"/>
      <c r="CM290" s="210"/>
      <c r="CN290" s="210"/>
      <c r="CO290" s="210"/>
      <c r="CP290" s="210"/>
      <c r="CQ290" s="210"/>
      <c r="CR290" s="210"/>
      <c r="CS290" s="210"/>
      <c r="CT290" s="210"/>
      <c r="CU290" s="210"/>
      <c r="CV290" s="210"/>
      <c r="CW290" s="210"/>
      <c r="CX290" s="210"/>
      <c r="CY290" s="210"/>
      <c r="CZ290" s="210"/>
      <c r="DA290" s="210"/>
      <c r="DB290" s="210"/>
      <c r="DC290" s="210"/>
      <c r="DD290" s="210"/>
      <c r="DE290" s="210"/>
      <c r="DF290" s="210"/>
      <c r="DG290" s="210"/>
      <c r="DH290" s="210"/>
      <c r="DI290" s="210"/>
      <c r="DJ290" s="210"/>
      <c r="DK290" s="210"/>
      <c r="DL290" s="210"/>
      <c r="DM290" s="210"/>
      <c r="DN290" s="210"/>
      <c r="DO290" s="210"/>
      <c r="DP290" s="210"/>
      <c r="DQ290" s="210"/>
      <c r="DR290" s="210"/>
      <c r="DS290" s="210"/>
      <c r="DT290" s="210"/>
      <c r="DU290" s="210"/>
      <c r="DV290" s="210"/>
      <c r="DW290" s="210"/>
      <c r="DX290" s="210"/>
      <c r="DY290" s="210"/>
      <c r="DZ290" s="210"/>
      <c r="EA290" s="210"/>
      <c r="EB290" s="210"/>
      <c r="EC290" s="210"/>
      <c r="ED290" s="210"/>
      <c r="EE290" s="210"/>
      <c r="EF290" s="210"/>
      <c r="EG290" s="210"/>
      <c r="EH290" s="210"/>
      <c r="EI290" s="210"/>
      <c r="EJ290" s="210"/>
      <c r="EK290" s="210"/>
      <c r="EL290" s="210"/>
      <c r="EM290" s="210"/>
      <c r="EN290" s="210"/>
      <c r="EO290" s="210"/>
      <c r="EP290" s="210"/>
      <c r="EQ290" s="210"/>
      <c r="ER290" s="210"/>
      <c r="ES290" s="210"/>
      <c r="ET290" s="210"/>
      <c r="EU290" s="210"/>
      <c r="EV290" s="210"/>
      <c r="EW290" s="210"/>
      <c r="EX290" s="210"/>
      <c r="EY290" s="210"/>
      <c r="EZ290" s="210"/>
      <c r="FA290" s="210"/>
      <c r="FB290" s="210"/>
      <c r="FC290" s="210"/>
      <c r="FD290" s="210"/>
      <c r="FE290" s="210"/>
      <c r="FF290" s="210"/>
      <c r="FG290" s="210"/>
      <c r="FH290" s="210"/>
      <c r="FI290" s="210"/>
      <c r="FJ290" s="210"/>
      <c r="FK290" s="210"/>
      <c r="FL290" s="210"/>
      <c r="FM290" s="210"/>
      <c r="FN290" s="210"/>
      <c r="FO290" s="210"/>
      <c r="FP290" s="210"/>
      <c r="FQ290" s="210"/>
      <c r="FR290" s="210"/>
      <c r="FS290" s="210"/>
      <c r="FT290" s="210"/>
      <c r="FU290" s="210"/>
      <c r="FV290" s="210"/>
      <c r="FW290" s="210"/>
      <c r="FX290" s="210"/>
      <c r="FY290" s="210"/>
      <c r="FZ290" s="210"/>
      <c r="GA290" s="210"/>
      <c r="GB290" s="210"/>
      <c r="GC290" s="210"/>
      <c r="GD290" s="210"/>
      <c r="GE290" s="210"/>
      <c r="GF290" s="210"/>
      <c r="GG290" s="210"/>
      <c r="GH290" s="210"/>
      <c r="GI290" s="210"/>
      <c r="GJ290" s="210"/>
      <c r="GK290" s="210"/>
      <c r="GL290" s="210"/>
      <c r="GM290" s="210"/>
      <c r="GN290" s="210"/>
      <c r="GO290" s="210"/>
      <c r="GP290" s="210"/>
      <c r="GQ290" s="210"/>
      <c r="GR290" s="210"/>
      <c r="GS290" s="210"/>
      <c r="GT290" s="210"/>
      <c r="GU290" s="210"/>
      <c r="GV290" s="210"/>
      <c r="GW290" s="210"/>
      <c r="GX290" s="210"/>
      <c r="GY290" s="210"/>
      <c r="GZ290" s="210"/>
      <c r="HA290" s="210"/>
      <c r="HB290" s="210"/>
      <c r="HC290" s="210"/>
      <c r="HD290" s="210"/>
      <c r="HE290" s="210"/>
      <c r="HF290" s="210"/>
      <c r="HG290" s="210"/>
      <c r="HH290" s="210"/>
      <c r="HI290" s="210"/>
      <c r="HJ290" s="210"/>
      <c r="HK290" s="210"/>
      <c r="HL290" s="210"/>
      <c r="HM290" s="210"/>
      <c r="HN290" s="210"/>
      <c r="HO290" s="210"/>
      <c r="HP290" s="210"/>
      <c r="HQ290" s="210"/>
      <c r="HR290" s="210"/>
      <c r="HS290" s="210"/>
      <c r="HT290" s="210"/>
      <c r="HU290" s="210"/>
      <c r="HV290" s="210"/>
      <c r="HW290" s="210"/>
      <c r="HX290" s="210"/>
      <c r="HY290" s="210"/>
      <c r="HZ290" s="210"/>
      <c r="IA290" s="210"/>
      <c r="IB290" s="210"/>
      <c r="IC290" s="210"/>
      <c r="ID290" s="210"/>
      <c r="IE290" s="210"/>
      <c r="IF290" s="210"/>
      <c r="IG290" s="210"/>
      <c r="IH290" s="210"/>
      <c r="II290" s="210"/>
      <c r="IJ290" s="210"/>
      <c r="IK290" s="210"/>
      <c r="IL290" s="210"/>
      <c r="IM290" s="210"/>
      <c r="IN290" s="210"/>
      <c r="IO290" s="210"/>
      <c r="IP290" s="210"/>
      <c r="IQ290" s="210"/>
      <c r="IR290" s="210"/>
      <c r="IS290" s="210"/>
      <c r="IT290" s="210"/>
      <c r="IU290" s="210"/>
      <c r="IV290" s="210"/>
      <c r="IW290" s="210"/>
    </row>
    <row r="291" spans="1:257" s="280" customFormat="1" ht="33" hidden="1">
      <c r="A291" s="246"/>
      <c r="B291" s="22" t="s">
        <v>335</v>
      </c>
      <c r="C291" s="23"/>
      <c r="D291" s="24"/>
      <c r="E291" s="25">
        <f>SUM(E292:E302)</f>
        <v>33880.267</v>
      </c>
      <c r="F291" s="25">
        <f t="shared" ref="F291:N291" si="52">SUM(F292:F302)</f>
        <v>4084</v>
      </c>
      <c r="G291" s="25">
        <f t="shared" si="52"/>
        <v>8640.7868999999992</v>
      </c>
      <c r="H291" s="25">
        <f t="shared" si="52"/>
        <v>22055.480100000001</v>
      </c>
      <c r="I291" s="25">
        <f t="shared" si="52"/>
        <v>27288.238000000001</v>
      </c>
      <c r="J291" s="25">
        <f t="shared" si="52"/>
        <v>9240.7868999999992</v>
      </c>
      <c r="K291" s="25">
        <f t="shared" si="52"/>
        <v>31524.066999999999</v>
      </c>
      <c r="L291" s="25">
        <f t="shared" si="52"/>
        <v>25441.438000000002</v>
      </c>
      <c r="M291" s="25">
        <f t="shared" si="52"/>
        <v>9169</v>
      </c>
      <c r="N291" s="25">
        <f t="shared" si="52"/>
        <v>9240.7868999999992</v>
      </c>
      <c r="O291" s="211"/>
      <c r="P291" s="210"/>
      <c r="Q291" s="211"/>
      <c r="R291" s="211"/>
      <c r="S291" s="211"/>
      <c r="T291" s="211"/>
      <c r="U291" s="211"/>
      <c r="V291" s="211"/>
      <c r="W291" s="211"/>
      <c r="X291" s="211"/>
      <c r="Y291" s="211"/>
      <c r="Z291" s="211"/>
      <c r="AA291" s="210"/>
      <c r="AB291" s="210"/>
      <c r="AC291" s="210"/>
      <c r="AD291" s="210"/>
      <c r="AE291" s="210"/>
      <c r="AF291" s="210"/>
      <c r="AG291" s="210"/>
      <c r="AH291" s="210"/>
      <c r="AI291" s="210"/>
      <c r="AJ291" s="210"/>
      <c r="AK291" s="210"/>
      <c r="AL291" s="210"/>
      <c r="AM291" s="210"/>
      <c r="AN291" s="210"/>
      <c r="AO291" s="210"/>
      <c r="AP291" s="210"/>
      <c r="AQ291" s="210"/>
      <c r="AR291" s="210"/>
      <c r="AS291" s="210"/>
      <c r="AT291" s="210"/>
      <c r="AU291" s="210"/>
      <c r="AV291" s="210"/>
      <c r="AW291" s="210"/>
      <c r="AX291" s="210"/>
      <c r="AY291" s="210"/>
      <c r="AZ291" s="210"/>
      <c r="BA291" s="210"/>
      <c r="BB291" s="210"/>
      <c r="BC291" s="210"/>
      <c r="BD291" s="210"/>
      <c r="BE291" s="210"/>
      <c r="BF291" s="210"/>
      <c r="BG291" s="210"/>
      <c r="BH291" s="210"/>
      <c r="BI291" s="210"/>
      <c r="BJ291" s="210"/>
      <c r="BK291" s="210"/>
      <c r="BL291" s="210"/>
      <c r="BM291" s="210"/>
      <c r="BN291" s="210"/>
      <c r="BO291" s="210"/>
      <c r="BP291" s="210"/>
      <c r="BQ291" s="210"/>
      <c r="BR291" s="210"/>
      <c r="BS291" s="210"/>
      <c r="BT291" s="210"/>
      <c r="BU291" s="210"/>
      <c r="BV291" s="210"/>
      <c r="BW291" s="210"/>
      <c r="BX291" s="210"/>
      <c r="BY291" s="210"/>
      <c r="BZ291" s="210"/>
      <c r="CA291" s="210"/>
      <c r="CB291" s="210"/>
      <c r="CC291" s="210"/>
      <c r="CD291" s="210"/>
      <c r="CE291" s="210"/>
      <c r="CF291" s="210"/>
      <c r="CG291" s="210"/>
      <c r="CH291" s="210"/>
      <c r="CI291" s="210"/>
      <c r="CJ291" s="210"/>
      <c r="CK291" s="210"/>
      <c r="CL291" s="210"/>
      <c r="CM291" s="210"/>
      <c r="CN291" s="210"/>
      <c r="CO291" s="210"/>
      <c r="CP291" s="210"/>
      <c r="CQ291" s="210"/>
      <c r="CR291" s="210"/>
      <c r="CS291" s="210"/>
      <c r="CT291" s="210"/>
      <c r="CU291" s="210"/>
      <c r="CV291" s="210"/>
      <c r="CW291" s="210"/>
      <c r="CX291" s="210"/>
      <c r="CY291" s="210"/>
      <c r="CZ291" s="210"/>
      <c r="DA291" s="210"/>
      <c r="DB291" s="210"/>
      <c r="DC291" s="210"/>
      <c r="DD291" s="210"/>
      <c r="DE291" s="210"/>
      <c r="DF291" s="210"/>
      <c r="DG291" s="210"/>
      <c r="DH291" s="210"/>
      <c r="DI291" s="210"/>
      <c r="DJ291" s="210"/>
      <c r="DK291" s="210"/>
      <c r="DL291" s="210"/>
      <c r="DM291" s="210"/>
      <c r="DN291" s="210"/>
      <c r="DO291" s="210"/>
      <c r="DP291" s="210"/>
      <c r="DQ291" s="210"/>
      <c r="DR291" s="210"/>
      <c r="DS291" s="210"/>
      <c r="DT291" s="210"/>
      <c r="DU291" s="210"/>
      <c r="DV291" s="210"/>
      <c r="DW291" s="210"/>
      <c r="DX291" s="210"/>
      <c r="DY291" s="210"/>
      <c r="DZ291" s="210"/>
      <c r="EA291" s="210"/>
      <c r="EB291" s="210"/>
      <c r="EC291" s="210"/>
      <c r="ED291" s="210"/>
      <c r="EE291" s="210"/>
      <c r="EF291" s="210"/>
      <c r="EG291" s="210"/>
      <c r="EH291" s="210"/>
      <c r="EI291" s="210"/>
      <c r="EJ291" s="210"/>
      <c r="EK291" s="210"/>
      <c r="EL291" s="210"/>
      <c r="EM291" s="210"/>
      <c r="EN291" s="210"/>
      <c r="EO291" s="210"/>
      <c r="EP291" s="210"/>
      <c r="EQ291" s="210"/>
      <c r="ER291" s="210"/>
      <c r="ES291" s="210"/>
      <c r="ET291" s="210"/>
      <c r="EU291" s="210"/>
      <c r="EV291" s="210"/>
      <c r="EW291" s="210"/>
      <c r="EX291" s="210"/>
      <c r="EY291" s="210"/>
      <c r="EZ291" s="210"/>
      <c r="FA291" s="210"/>
      <c r="FB291" s="210"/>
      <c r="FC291" s="210"/>
      <c r="FD291" s="210"/>
      <c r="FE291" s="210"/>
      <c r="FF291" s="210"/>
      <c r="FG291" s="210"/>
      <c r="FH291" s="210"/>
      <c r="FI291" s="210"/>
      <c r="FJ291" s="210"/>
      <c r="FK291" s="210"/>
      <c r="FL291" s="210"/>
      <c r="FM291" s="210"/>
      <c r="FN291" s="210"/>
      <c r="FO291" s="210"/>
      <c r="FP291" s="210"/>
      <c r="FQ291" s="210"/>
      <c r="FR291" s="210"/>
      <c r="FS291" s="210"/>
      <c r="FT291" s="210"/>
      <c r="FU291" s="210"/>
      <c r="FV291" s="210"/>
      <c r="FW291" s="210"/>
      <c r="FX291" s="210"/>
      <c r="FY291" s="210"/>
      <c r="FZ291" s="210"/>
      <c r="GA291" s="210"/>
      <c r="GB291" s="210"/>
      <c r="GC291" s="210"/>
      <c r="GD291" s="210"/>
      <c r="GE291" s="210"/>
      <c r="GF291" s="210"/>
      <c r="GG291" s="210"/>
      <c r="GH291" s="210"/>
      <c r="GI291" s="210"/>
      <c r="GJ291" s="210"/>
      <c r="GK291" s="210"/>
      <c r="GL291" s="210"/>
      <c r="GM291" s="210"/>
      <c r="GN291" s="210"/>
      <c r="GO291" s="210"/>
      <c r="GP291" s="210"/>
      <c r="GQ291" s="210"/>
      <c r="GR291" s="210"/>
      <c r="GS291" s="210"/>
      <c r="GT291" s="210"/>
      <c r="GU291" s="210"/>
      <c r="GV291" s="210"/>
      <c r="GW291" s="210"/>
      <c r="GX291" s="210"/>
      <c r="GY291" s="210"/>
      <c r="GZ291" s="210"/>
      <c r="HA291" s="210"/>
      <c r="HB291" s="210"/>
      <c r="HC291" s="210"/>
      <c r="HD291" s="210"/>
      <c r="HE291" s="210"/>
      <c r="HF291" s="210"/>
      <c r="HG291" s="210"/>
      <c r="HH291" s="210"/>
      <c r="HI291" s="210"/>
      <c r="HJ291" s="210"/>
      <c r="HK291" s="210"/>
      <c r="HL291" s="210"/>
      <c r="HM291" s="210"/>
      <c r="HN291" s="210"/>
      <c r="HO291" s="210"/>
      <c r="HP291" s="210"/>
      <c r="HQ291" s="210"/>
      <c r="HR291" s="210"/>
      <c r="HS291" s="210"/>
      <c r="HT291" s="210"/>
      <c r="HU291" s="210"/>
      <c r="HV291" s="210"/>
      <c r="HW291" s="210"/>
      <c r="HX291" s="210"/>
      <c r="HY291" s="210"/>
      <c r="HZ291" s="210"/>
      <c r="IA291" s="210"/>
      <c r="IB291" s="210"/>
      <c r="IC291" s="210"/>
      <c r="ID291" s="210"/>
      <c r="IE291" s="210"/>
      <c r="IF291" s="210"/>
      <c r="IG291" s="210"/>
      <c r="IH291" s="210"/>
      <c r="II291" s="210"/>
      <c r="IJ291" s="210"/>
      <c r="IK291" s="210"/>
      <c r="IL291" s="210"/>
      <c r="IM291" s="210"/>
      <c r="IN291" s="210"/>
      <c r="IO291" s="210"/>
      <c r="IP291" s="210"/>
      <c r="IQ291" s="210"/>
      <c r="IR291" s="210"/>
      <c r="IS291" s="210"/>
      <c r="IT291" s="210"/>
      <c r="IU291" s="210"/>
      <c r="IV291" s="210"/>
      <c r="IW291" s="210"/>
    </row>
    <row r="292" spans="1:257" s="83" customFormat="1" ht="66" hidden="1">
      <c r="A292" s="57">
        <v>1</v>
      </c>
      <c r="B292" s="58" t="s">
        <v>632</v>
      </c>
      <c r="C292" s="46" t="s">
        <v>633</v>
      </c>
      <c r="D292" s="46" t="s">
        <v>634</v>
      </c>
      <c r="E292" s="59">
        <v>2379</v>
      </c>
      <c r="F292" s="60">
        <v>900</v>
      </c>
      <c r="G292" s="33">
        <v>263</v>
      </c>
      <c r="H292" s="61">
        <f t="shared" ref="H292:H300" si="53">E292-F292-G292</f>
        <v>1216</v>
      </c>
      <c r="I292" s="33">
        <v>2162</v>
      </c>
      <c r="J292" s="33">
        <v>263</v>
      </c>
      <c r="K292" s="33">
        <f>I292</f>
        <v>2162</v>
      </c>
      <c r="L292" s="33">
        <f>979+900+263+20</f>
        <v>2162</v>
      </c>
      <c r="M292" s="33">
        <v>263</v>
      </c>
      <c r="N292" s="33">
        <v>263</v>
      </c>
      <c r="O292" s="82"/>
      <c r="Q292" s="82"/>
      <c r="R292" s="82"/>
      <c r="S292" s="82"/>
      <c r="T292" s="82"/>
      <c r="U292" s="82"/>
      <c r="V292" s="82"/>
      <c r="W292" s="82"/>
      <c r="X292" s="82"/>
      <c r="Y292" s="82"/>
      <c r="Z292" s="82"/>
    </row>
    <row r="293" spans="1:257" s="83" customFormat="1" ht="66">
      <c r="A293" s="57">
        <v>2</v>
      </c>
      <c r="B293" s="42" t="s">
        <v>635</v>
      </c>
      <c r="C293" s="62" t="s">
        <v>636</v>
      </c>
      <c r="D293" s="44" t="s">
        <v>637</v>
      </c>
      <c r="E293" s="40">
        <v>2011</v>
      </c>
      <c r="F293" s="60">
        <v>506</v>
      </c>
      <c r="G293" s="33">
        <v>306</v>
      </c>
      <c r="H293" s="40">
        <f t="shared" si="53"/>
        <v>1199</v>
      </c>
      <c r="I293" s="33">
        <v>1900</v>
      </c>
      <c r="J293" s="33">
        <v>306</v>
      </c>
      <c r="K293" s="33">
        <v>1900</v>
      </c>
      <c r="L293" s="33">
        <v>1811</v>
      </c>
      <c r="M293" s="33">
        <v>306</v>
      </c>
      <c r="N293" s="33">
        <v>306</v>
      </c>
      <c r="O293" s="82"/>
      <c r="P293" s="83">
        <v>1</v>
      </c>
      <c r="Q293" s="82"/>
      <c r="R293" s="82"/>
      <c r="S293" s="82"/>
      <c r="T293" s="82"/>
      <c r="U293" s="82"/>
      <c r="V293" s="82"/>
      <c r="W293" s="82"/>
      <c r="X293" s="82"/>
      <c r="Y293" s="82"/>
      <c r="Z293" s="82"/>
    </row>
    <row r="294" spans="1:257" s="83" customFormat="1" ht="66">
      <c r="A294" s="57">
        <v>3</v>
      </c>
      <c r="B294" s="42" t="s">
        <v>638</v>
      </c>
      <c r="C294" s="62" t="s">
        <v>639</v>
      </c>
      <c r="D294" s="44" t="s">
        <v>640</v>
      </c>
      <c r="E294" s="40">
        <v>3703</v>
      </c>
      <c r="F294" s="60"/>
      <c r="G294" s="33">
        <v>500</v>
      </c>
      <c r="H294" s="40">
        <f t="shared" si="53"/>
        <v>3203</v>
      </c>
      <c r="I294" s="33">
        <v>2626</v>
      </c>
      <c r="J294" s="33">
        <v>500</v>
      </c>
      <c r="K294" s="33">
        <v>3427</v>
      </c>
      <c r="L294" s="33">
        <f>K294</f>
        <v>3427</v>
      </c>
      <c r="M294" s="33">
        <v>500</v>
      </c>
      <c r="N294" s="33">
        <v>500</v>
      </c>
      <c r="O294" s="82"/>
      <c r="P294" s="83">
        <v>1</v>
      </c>
      <c r="Q294" s="82"/>
      <c r="R294" s="82"/>
      <c r="S294" s="82"/>
      <c r="T294" s="82"/>
      <c r="U294" s="82"/>
      <c r="V294" s="82"/>
      <c r="W294" s="82"/>
      <c r="X294" s="82">
        <v>500</v>
      </c>
      <c r="Y294" s="82"/>
      <c r="Z294" s="82"/>
    </row>
    <row r="295" spans="1:257" s="83" customFormat="1" ht="66">
      <c r="A295" s="57">
        <v>4</v>
      </c>
      <c r="B295" s="42" t="s">
        <v>641</v>
      </c>
      <c r="C295" s="62" t="s">
        <v>642</v>
      </c>
      <c r="D295" s="44" t="s">
        <v>643</v>
      </c>
      <c r="E295" s="40">
        <v>3719</v>
      </c>
      <c r="F295" s="60"/>
      <c r="G295" s="33">
        <v>700</v>
      </c>
      <c r="H295" s="40">
        <f t="shared" si="53"/>
        <v>3019</v>
      </c>
      <c r="I295" s="33">
        <v>3512</v>
      </c>
      <c r="J295" s="33">
        <v>700</v>
      </c>
      <c r="K295" s="33">
        <v>3512</v>
      </c>
      <c r="L295" s="33">
        <v>3062</v>
      </c>
      <c r="M295" s="33">
        <v>700</v>
      </c>
      <c r="N295" s="33">
        <v>700</v>
      </c>
      <c r="O295" s="82"/>
      <c r="P295" s="83">
        <v>1</v>
      </c>
      <c r="Q295" s="82"/>
      <c r="R295" s="82"/>
      <c r="S295" s="82"/>
      <c r="T295" s="82"/>
      <c r="U295" s="82"/>
      <c r="V295" s="82"/>
      <c r="W295" s="82"/>
      <c r="X295" s="82">
        <v>700</v>
      </c>
      <c r="Y295" s="82"/>
      <c r="Z295" s="82"/>
    </row>
    <row r="296" spans="1:257" s="83" customFormat="1" ht="82.5">
      <c r="A296" s="57">
        <v>5</v>
      </c>
      <c r="B296" s="42" t="s">
        <v>644</v>
      </c>
      <c r="C296" s="62" t="s">
        <v>645</v>
      </c>
      <c r="D296" s="44" t="s">
        <v>646</v>
      </c>
      <c r="E296" s="63">
        <v>2456</v>
      </c>
      <c r="F296" s="60"/>
      <c r="G296" s="33">
        <v>900</v>
      </c>
      <c r="H296" s="63">
        <f t="shared" si="53"/>
        <v>1556</v>
      </c>
      <c r="I296" s="33">
        <v>1134</v>
      </c>
      <c r="J296" s="33">
        <v>900</v>
      </c>
      <c r="K296" s="33">
        <v>2200</v>
      </c>
      <c r="L296" s="33">
        <v>2034</v>
      </c>
      <c r="M296" s="33">
        <v>900</v>
      </c>
      <c r="N296" s="33">
        <v>900</v>
      </c>
      <c r="O296" s="82"/>
      <c r="P296" s="83">
        <v>1</v>
      </c>
      <c r="Q296" s="82"/>
      <c r="R296" s="82"/>
      <c r="S296" s="82"/>
      <c r="T296" s="82"/>
      <c r="U296" s="82"/>
      <c r="V296" s="82"/>
      <c r="W296" s="82"/>
      <c r="X296" s="82"/>
      <c r="Y296" s="82"/>
      <c r="Z296" s="82"/>
    </row>
    <row r="297" spans="1:257" s="83" customFormat="1" ht="66">
      <c r="A297" s="57">
        <v>6</v>
      </c>
      <c r="B297" s="42" t="s">
        <v>647</v>
      </c>
      <c r="C297" s="62" t="s">
        <v>648</v>
      </c>
      <c r="D297" s="44" t="s">
        <v>649</v>
      </c>
      <c r="E297" s="40">
        <v>3757</v>
      </c>
      <c r="F297" s="60">
        <f>350+200</f>
        <v>550</v>
      </c>
      <c r="G297" s="33">
        <v>700</v>
      </c>
      <c r="H297" s="40">
        <f t="shared" si="53"/>
        <v>2507</v>
      </c>
      <c r="I297" s="33">
        <v>3456</v>
      </c>
      <c r="J297" s="33">
        <v>1300</v>
      </c>
      <c r="K297" s="33">
        <v>3456</v>
      </c>
      <c r="L297" s="33">
        <v>2521.4670000000001</v>
      </c>
      <c r="M297" s="33">
        <v>1300</v>
      </c>
      <c r="N297" s="33">
        <f>800+500</f>
        <v>1300</v>
      </c>
      <c r="O297" s="82"/>
      <c r="P297" s="83">
        <v>1</v>
      </c>
      <c r="Q297" s="82"/>
      <c r="R297" s="82"/>
      <c r="S297" s="82"/>
      <c r="T297" s="82"/>
      <c r="U297" s="82"/>
      <c r="V297" s="82"/>
      <c r="W297" s="82"/>
      <c r="X297" s="82">
        <f>500+800</f>
        <v>1300</v>
      </c>
      <c r="Y297" s="82"/>
      <c r="Z297" s="82"/>
    </row>
    <row r="298" spans="1:257" s="83" customFormat="1" ht="82.5">
      <c r="A298" s="57">
        <v>7</v>
      </c>
      <c r="B298" s="42" t="s">
        <v>650</v>
      </c>
      <c r="C298" s="62" t="s">
        <v>651</v>
      </c>
      <c r="D298" s="44" t="s">
        <v>652</v>
      </c>
      <c r="E298" s="40">
        <v>4298</v>
      </c>
      <c r="F298" s="60">
        <v>300</v>
      </c>
      <c r="G298" s="33">
        <f>800+500</f>
        <v>1300</v>
      </c>
      <c r="H298" s="40">
        <f t="shared" si="53"/>
        <v>2698</v>
      </c>
      <c r="I298" s="33">
        <v>3280</v>
      </c>
      <c r="J298" s="33">
        <v>1300</v>
      </c>
      <c r="K298" s="33">
        <v>4065</v>
      </c>
      <c r="L298" s="33">
        <v>3280</v>
      </c>
      <c r="M298" s="33">
        <v>1300</v>
      </c>
      <c r="N298" s="33">
        <f>600+700</f>
        <v>1300</v>
      </c>
      <c r="O298" s="82"/>
      <c r="P298" s="83">
        <v>1</v>
      </c>
      <c r="Q298" s="82"/>
      <c r="R298" s="82"/>
      <c r="S298" s="82"/>
      <c r="T298" s="82"/>
      <c r="U298" s="82"/>
      <c r="V298" s="82"/>
      <c r="W298" s="82"/>
      <c r="X298" s="82">
        <v>700</v>
      </c>
      <c r="Y298" s="82"/>
      <c r="Z298" s="82"/>
    </row>
    <row r="299" spans="1:257" s="83" customFormat="1" ht="82.5">
      <c r="A299" s="57">
        <v>8</v>
      </c>
      <c r="B299" s="42" t="s">
        <v>653</v>
      </c>
      <c r="C299" s="62" t="s">
        <v>654</v>
      </c>
      <c r="D299" s="44" t="s">
        <v>655</v>
      </c>
      <c r="E299" s="40">
        <v>4410</v>
      </c>
      <c r="F299" s="40">
        <v>1346</v>
      </c>
      <c r="G299" s="33">
        <v>1000</v>
      </c>
      <c r="H299" s="40">
        <f t="shared" si="53"/>
        <v>2064</v>
      </c>
      <c r="I299" s="33">
        <v>3877</v>
      </c>
      <c r="J299" s="33">
        <v>1000</v>
      </c>
      <c r="K299" s="33">
        <v>3877</v>
      </c>
      <c r="L299" s="33">
        <v>3877</v>
      </c>
      <c r="M299" s="33">
        <v>1000</v>
      </c>
      <c r="N299" s="33">
        <v>1000</v>
      </c>
      <c r="O299" s="82"/>
      <c r="P299" s="83">
        <v>1</v>
      </c>
      <c r="Q299" s="82"/>
      <c r="R299" s="82"/>
      <c r="S299" s="82"/>
      <c r="T299" s="82"/>
      <c r="U299" s="82"/>
      <c r="V299" s="82"/>
      <c r="W299" s="82"/>
      <c r="X299" s="82">
        <v>1000</v>
      </c>
      <c r="Y299" s="82"/>
      <c r="Z299" s="82"/>
    </row>
    <row r="300" spans="1:257" s="83" customFormat="1" ht="82.5">
      <c r="A300" s="57">
        <v>9</v>
      </c>
      <c r="B300" s="42" t="s">
        <v>656</v>
      </c>
      <c r="C300" s="62" t="s">
        <v>657</v>
      </c>
      <c r="D300" s="44" t="s">
        <v>658</v>
      </c>
      <c r="E300" s="40">
        <v>1990</v>
      </c>
      <c r="F300" s="60">
        <v>82</v>
      </c>
      <c r="G300" s="33">
        <v>800</v>
      </c>
      <c r="H300" s="40">
        <f t="shared" si="53"/>
        <v>1108</v>
      </c>
      <c r="I300" s="33">
        <v>1403.971</v>
      </c>
      <c r="J300" s="33">
        <v>800</v>
      </c>
      <c r="K300" s="33">
        <v>1802</v>
      </c>
      <c r="L300" s="33">
        <v>1403.971</v>
      </c>
      <c r="M300" s="33">
        <v>800</v>
      </c>
      <c r="N300" s="33">
        <v>800</v>
      </c>
      <c r="O300" s="82"/>
      <c r="P300" s="83">
        <v>1</v>
      </c>
      <c r="Q300" s="82"/>
      <c r="R300" s="82"/>
      <c r="S300" s="82"/>
      <c r="T300" s="82"/>
      <c r="U300" s="82"/>
      <c r="V300" s="82"/>
      <c r="W300" s="82"/>
      <c r="X300" s="82">
        <v>800</v>
      </c>
      <c r="Y300" s="82"/>
      <c r="Z300" s="82"/>
    </row>
    <row r="301" spans="1:257" s="83" customFormat="1" ht="66" hidden="1">
      <c r="A301" s="57">
        <v>10</v>
      </c>
      <c r="B301" s="42" t="s">
        <v>659</v>
      </c>
      <c r="C301" s="62" t="s">
        <v>660</v>
      </c>
      <c r="D301" s="44" t="s">
        <v>661</v>
      </c>
      <c r="E301" s="40">
        <v>2769</v>
      </c>
      <c r="F301" s="60">
        <v>400</v>
      </c>
      <c r="G301" s="33">
        <v>500</v>
      </c>
      <c r="H301" s="40">
        <v>2769</v>
      </c>
      <c r="I301" s="33">
        <v>1549</v>
      </c>
      <c r="J301" s="33">
        <v>500</v>
      </c>
      <c r="K301" s="33">
        <v>2734.8</v>
      </c>
      <c r="L301" s="33">
        <v>1549</v>
      </c>
      <c r="M301" s="33">
        <v>500</v>
      </c>
      <c r="N301" s="33">
        <v>500</v>
      </c>
      <c r="O301" s="82"/>
      <c r="Q301" s="82"/>
      <c r="R301" s="82"/>
      <c r="S301" s="82"/>
      <c r="T301" s="82"/>
      <c r="U301" s="82"/>
      <c r="V301" s="82"/>
      <c r="W301" s="82"/>
      <c r="X301" s="82"/>
      <c r="Y301" s="82"/>
      <c r="Z301" s="82"/>
    </row>
    <row r="302" spans="1:257" s="83" customFormat="1" ht="99" hidden="1">
      <c r="A302" s="57">
        <v>11</v>
      </c>
      <c r="B302" s="42" t="s">
        <v>662</v>
      </c>
      <c r="C302" s="62" t="s">
        <v>663</v>
      </c>
      <c r="D302" s="44" t="s">
        <v>664</v>
      </c>
      <c r="E302" s="40">
        <v>2388.2669999999998</v>
      </c>
      <c r="F302" s="60"/>
      <c r="G302" s="33">
        <f>E302*70%</f>
        <v>1671.7868999999998</v>
      </c>
      <c r="H302" s="40">
        <f>E302-G302</f>
        <v>716.48009999999999</v>
      </c>
      <c r="I302" s="33">
        <f>E302</f>
        <v>2388.2669999999998</v>
      </c>
      <c r="J302" s="33">
        <v>1671.7868999999998</v>
      </c>
      <c r="K302" s="33">
        <f>E302</f>
        <v>2388.2669999999998</v>
      </c>
      <c r="L302" s="239">
        <v>314</v>
      </c>
      <c r="M302" s="33">
        <v>1600</v>
      </c>
      <c r="N302" s="33">
        <v>1671.7868999999998</v>
      </c>
      <c r="O302" s="82"/>
      <c r="Q302" s="82"/>
      <c r="R302" s="82"/>
      <c r="S302" s="82"/>
      <c r="T302" s="82"/>
      <c r="U302" s="82"/>
      <c r="V302" s="82"/>
      <c r="W302" s="82"/>
      <c r="X302" s="82"/>
      <c r="Y302" s="82"/>
      <c r="Z302" s="82"/>
    </row>
    <row r="303" spans="1:257" s="281" customFormat="1" ht="17.25" hidden="1">
      <c r="A303" s="246" t="s">
        <v>742</v>
      </c>
      <c r="B303" s="81" t="s">
        <v>666</v>
      </c>
      <c r="C303" s="247"/>
      <c r="D303" s="247"/>
      <c r="E303" s="37">
        <f>E306</f>
        <v>26448.400000000001</v>
      </c>
      <c r="F303" s="37">
        <f t="shared" ref="F303:O303" si="54">F306</f>
        <v>0</v>
      </c>
      <c r="G303" s="37">
        <f t="shared" si="54"/>
        <v>9285</v>
      </c>
      <c r="H303" s="37">
        <f t="shared" si="54"/>
        <v>17163.400000000001</v>
      </c>
      <c r="I303" s="37">
        <f t="shared" si="54"/>
        <v>22354</v>
      </c>
      <c r="J303" s="37">
        <f t="shared" si="54"/>
        <v>11332</v>
      </c>
      <c r="K303" s="37">
        <f t="shared" si="54"/>
        <v>23385</v>
      </c>
      <c r="L303" s="37">
        <f t="shared" si="54"/>
        <v>9285</v>
      </c>
      <c r="M303" s="37">
        <f t="shared" si="54"/>
        <v>11332</v>
      </c>
      <c r="N303" s="37">
        <f t="shared" si="54"/>
        <v>11332</v>
      </c>
      <c r="O303" s="37">
        <f t="shared" si="54"/>
        <v>0</v>
      </c>
      <c r="Q303" s="282"/>
      <c r="R303" s="282"/>
      <c r="S303" s="282"/>
      <c r="T303" s="282"/>
      <c r="U303" s="282"/>
      <c r="V303" s="282"/>
      <c r="W303" s="282"/>
      <c r="X303" s="282"/>
      <c r="Y303" s="282"/>
      <c r="Z303" s="282"/>
    </row>
    <row r="304" spans="1:257" s="280" customFormat="1" ht="49.5" hidden="1">
      <c r="A304" s="246"/>
      <c r="B304" s="73" t="s">
        <v>379</v>
      </c>
      <c r="C304" s="247"/>
      <c r="D304" s="247"/>
      <c r="E304" s="37"/>
      <c r="F304" s="37"/>
      <c r="G304" s="37"/>
      <c r="H304" s="37"/>
      <c r="I304" s="37"/>
      <c r="J304" s="37"/>
      <c r="K304" s="37"/>
      <c r="L304" s="37"/>
      <c r="M304" s="37"/>
      <c r="N304" s="37"/>
      <c r="O304" s="211"/>
      <c r="Q304" s="283"/>
      <c r="R304" s="283"/>
      <c r="S304" s="283"/>
      <c r="T304" s="283"/>
      <c r="U304" s="283"/>
      <c r="V304" s="283"/>
      <c r="W304" s="283"/>
      <c r="X304" s="283"/>
      <c r="Y304" s="283"/>
      <c r="Z304" s="283"/>
    </row>
    <row r="305" spans="1:26" s="280" customFormat="1" ht="33" hidden="1">
      <c r="A305" s="246"/>
      <c r="B305" s="22" t="s">
        <v>141</v>
      </c>
      <c r="C305" s="23"/>
      <c r="D305" s="24"/>
      <c r="E305" s="25"/>
      <c r="F305" s="25"/>
      <c r="G305" s="25"/>
      <c r="H305" s="25"/>
      <c r="I305" s="25"/>
      <c r="J305" s="25"/>
      <c r="K305" s="25"/>
      <c r="L305" s="25"/>
      <c r="M305" s="25"/>
      <c r="N305" s="25"/>
      <c r="O305" s="211"/>
      <c r="Q305" s="283"/>
      <c r="R305" s="283"/>
      <c r="S305" s="283"/>
      <c r="T305" s="283"/>
      <c r="U305" s="283"/>
      <c r="V305" s="283"/>
      <c r="W305" s="283"/>
      <c r="X305" s="283"/>
      <c r="Y305" s="283"/>
      <c r="Z305" s="283"/>
    </row>
    <row r="306" spans="1:26" s="280" customFormat="1" ht="33" hidden="1">
      <c r="A306" s="246"/>
      <c r="B306" s="22" t="s">
        <v>335</v>
      </c>
      <c r="C306" s="23"/>
      <c r="D306" s="24"/>
      <c r="E306" s="25">
        <f t="shared" ref="E306:N306" si="55">SUM(E307:E335)</f>
        <v>26448.400000000001</v>
      </c>
      <c r="F306" s="25">
        <f t="shared" si="55"/>
        <v>0</v>
      </c>
      <c r="G306" s="25">
        <f t="shared" si="55"/>
        <v>9285</v>
      </c>
      <c r="H306" s="25">
        <f t="shared" si="55"/>
        <v>17163.400000000001</v>
      </c>
      <c r="I306" s="25">
        <f t="shared" si="55"/>
        <v>22354</v>
      </c>
      <c r="J306" s="25">
        <f t="shared" si="55"/>
        <v>11332</v>
      </c>
      <c r="K306" s="25">
        <f t="shared" si="55"/>
        <v>23385</v>
      </c>
      <c r="L306" s="25">
        <f t="shared" si="55"/>
        <v>9285</v>
      </c>
      <c r="M306" s="25">
        <f t="shared" si="55"/>
        <v>11332</v>
      </c>
      <c r="N306" s="25">
        <f t="shared" si="55"/>
        <v>11332</v>
      </c>
      <c r="O306" s="25">
        <f>SUM(O307:O328)</f>
        <v>0</v>
      </c>
      <c r="Q306" s="283"/>
      <c r="R306" s="283"/>
      <c r="S306" s="283"/>
      <c r="T306" s="283"/>
      <c r="U306" s="283"/>
      <c r="V306" s="283"/>
      <c r="W306" s="283"/>
      <c r="X306" s="283"/>
      <c r="Y306" s="283"/>
      <c r="Z306" s="283"/>
    </row>
    <row r="307" spans="1:26" s="280" customFormat="1" ht="66">
      <c r="A307" s="176">
        <v>1</v>
      </c>
      <c r="B307" s="177" t="s">
        <v>667</v>
      </c>
      <c r="C307" s="178">
        <v>2016</v>
      </c>
      <c r="D307" s="179" t="s">
        <v>668</v>
      </c>
      <c r="E307" s="180">
        <v>1856</v>
      </c>
      <c r="F307" s="284"/>
      <c r="G307" s="181">
        <v>300</v>
      </c>
      <c r="H307" s="182">
        <f t="shared" ref="H307:H328" si="56">+E307-F307-G307</f>
        <v>1556</v>
      </c>
      <c r="I307" s="181">
        <v>1534</v>
      </c>
      <c r="J307" s="181">
        <v>300</v>
      </c>
      <c r="K307" s="181">
        <v>1545</v>
      </c>
      <c r="L307" s="181">
        <v>300</v>
      </c>
      <c r="M307" s="181">
        <v>300</v>
      </c>
      <c r="N307" s="181">
        <v>300</v>
      </c>
      <c r="O307" s="211"/>
      <c r="P307" s="280">
        <v>1</v>
      </c>
      <c r="Q307" s="283"/>
      <c r="R307" s="283"/>
      <c r="S307" s="283"/>
      <c r="T307" s="283"/>
      <c r="U307" s="283"/>
      <c r="V307" s="283"/>
      <c r="W307" s="283"/>
      <c r="X307" s="283"/>
      <c r="Y307" s="283"/>
      <c r="Z307" s="283"/>
    </row>
    <row r="308" spans="1:26" s="280" customFormat="1" ht="66">
      <c r="A308" s="176">
        <v>2</v>
      </c>
      <c r="B308" s="177" t="s">
        <v>669</v>
      </c>
      <c r="C308" s="178">
        <v>2017</v>
      </c>
      <c r="D308" s="179" t="s">
        <v>670</v>
      </c>
      <c r="E308" s="180">
        <v>1496</v>
      </c>
      <c r="F308" s="284"/>
      <c r="G308" s="181">
        <v>132</v>
      </c>
      <c r="H308" s="182">
        <f t="shared" si="56"/>
        <v>1364</v>
      </c>
      <c r="I308" s="181">
        <v>1030</v>
      </c>
      <c r="J308" s="181">
        <v>132</v>
      </c>
      <c r="K308" s="181">
        <v>1240</v>
      </c>
      <c r="L308" s="181">
        <v>132</v>
      </c>
      <c r="M308" s="181">
        <v>132</v>
      </c>
      <c r="N308" s="181">
        <v>132</v>
      </c>
      <c r="O308" s="211"/>
      <c r="P308" s="280">
        <v>1</v>
      </c>
      <c r="Q308" s="283"/>
      <c r="R308" s="283"/>
      <c r="S308" s="283"/>
      <c r="T308" s="283"/>
      <c r="U308" s="283"/>
      <c r="V308" s="283"/>
      <c r="W308" s="283"/>
      <c r="X308" s="283"/>
      <c r="Y308" s="283"/>
      <c r="Z308" s="283"/>
    </row>
    <row r="309" spans="1:26" s="280" customFormat="1" ht="66">
      <c r="A309" s="176">
        <v>3</v>
      </c>
      <c r="B309" s="177" t="s">
        <v>671</v>
      </c>
      <c r="C309" s="183" t="s">
        <v>672</v>
      </c>
      <c r="D309" s="184" t="s">
        <v>673</v>
      </c>
      <c r="E309" s="185">
        <v>2674</v>
      </c>
      <c r="F309" s="284"/>
      <c r="G309" s="181">
        <v>500</v>
      </c>
      <c r="H309" s="182">
        <f t="shared" si="56"/>
        <v>2174</v>
      </c>
      <c r="I309" s="181">
        <v>1920</v>
      </c>
      <c r="J309" s="181">
        <v>500</v>
      </c>
      <c r="K309" s="181">
        <v>2008</v>
      </c>
      <c r="L309" s="181">
        <v>500</v>
      </c>
      <c r="M309" s="181">
        <v>500</v>
      </c>
      <c r="N309" s="181">
        <v>500</v>
      </c>
      <c r="O309" s="211"/>
      <c r="P309" s="280">
        <v>1</v>
      </c>
      <c r="Q309" s="283"/>
      <c r="R309" s="283"/>
      <c r="S309" s="283"/>
      <c r="T309" s="283"/>
      <c r="U309" s="283"/>
      <c r="V309" s="283"/>
      <c r="W309" s="283"/>
      <c r="X309" s="283"/>
      <c r="Y309" s="283"/>
      <c r="Z309" s="283"/>
    </row>
    <row r="310" spans="1:26" s="280" customFormat="1" ht="66" hidden="1">
      <c r="A310" s="176">
        <v>4</v>
      </c>
      <c r="B310" s="177" t="s">
        <v>674</v>
      </c>
      <c r="C310" s="183" t="s">
        <v>672</v>
      </c>
      <c r="D310" s="184" t="s">
        <v>673</v>
      </c>
      <c r="E310" s="185">
        <v>2673.6</v>
      </c>
      <c r="F310" s="284"/>
      <c r="G310" s="181">
        <v>200</v>
      </c>
      <c r="H310" s="182">
        <f t="shared" si="56"/>
        <v>2473.6</v>
      </c>
      <c r="I310" s="181">
        <v>2450</v>
      </c>
      <c r="J310" s="181">
        <v>200</v>
      </c>
      <c r="K310" s="181">
        <v>2682</v>
      </c>
      <c r="L310" s="181">
        <v>200</v>
      </c>
      <c r="M310" s="181">
        <v>200</v>
      </c>
      <c r="N310" s="181">
        <v>200</v>
      </c>
      <c r="O310" s="211"/>
      <c r="Q310" s="283"/>
      <c r="R310" s="283"/>
      <c r="S310" s="283"/>
      <c r="T310" s="283"/>
      <c r="U310" s="283"/>
      <c r="V310" s="283"/>
      <c r="W310" s="283"/>
      <c r="X310" s="283"/>
      <c r="Y310" s="283"/>
      <c r="Z310" s="283"/>
    </row>
    <row r="311" spans="1:26" s="280" customFormat="1" ht="66">
      <c r="A311" s="176">
        <v>6</v>
      </c>
      <c r="B311" s="184" t="s">
        <v>675</v>
      </c>
      <c r="C311" s="186" t="s">
        <v>676</v>
      </c>
      <c r="D311" s="184" t="s">
        <v>677</v>
      </c>
      <c r="E311" s="185">
        <v>2364</v>
      </c>
      <c r="F311" s="284"/>
      <c r="G311" s="181">
        <v>700</v>
      </c>
      <c r="H311" s="182">
        <f t="shared" si="56"/>
        <v>1664</v>
      </c>
      <c r="I311" s="181">
        <v>2164</v>
      </c>
      <c r="J311" s="181">
        <v>700</v>
      </c>
      <c r="K311" s="181">
        <v>2307</v>
      </c>
      <c r="L311" s="181">
        <v>700</v>
      </c>
      <c r="M311" s="181">
        <v>700</v>
      </c>
      <c r="N311" s="181">
        <v>700</v>
      </c>
      <c r="O311" s="211"/>
      <c r="P311" s="280">
        <v>1</v>
      </c>
      <c r="Q311" s="283"/>
      <c r="R311" s="283"/>
      <c r="S311" s="283"/>
      <c r="T311" s="283"/>
      <c r="U311" s="283"/>
      <c r="V311" s="283"/>
      <c r="W311" s="283"/>
      <c r="X311" s="283"/>
      <c r="Y311" s="283"/>
      <c r="Z311" s="283"/>
    </row>
    <row r="312" spans="1:26" s="280" customFormat="1" ht="66" hidden="1">
      <c r="A312" s="176">
        <v>7</v>
      </c>
      <c r="B312" s="184" t="s">
        <v>678</v>
      </c>
      <c r="C312" s="183" t="s">
        <v>679</v>
      </c>
      <c r="D312" s="179" t="s">
        <v>680</v>
      </c>
      <c r="E312" s="185">
        <v>1143</v>
      </c>
      <c r="F312" s="284"/>
      <c r="G312" s="181">
        <v>700</v>
      </c>
      <c r="H312" s="182">
        <f t="shared" si="56"/>
        <v>443</v>
      </c>
      <c r="I312" s="181">
        <v>976</v>
      </c>
      <c r="J312" s="181">
        <v>700</v>
      </c>
      <c r="K312" s="181">
        <v>1012</v>
      </c>
      <c r="L312" s="181">
        <v>700</v>
      </c>
      <c r="M312" s="181">
        <v>700</v>
      </c>
      <c r="N312" s="181">
        <v>700</v>
      </c>
      <c r="O312" s="211"/>
      <c r="Q312" s="283"/>
      <c r="R312" s="283"/>
      <c r="S312" s="283"/>
      <c r="T312" s="283"/>
      <c r="U312" s="283"/>
      <c r="V312" s="283"/>
      <c r="W312" s="283"/>
      <c r="X312" s="283"/>
      <c r="Y312" s="283"/>
      <c r="Z312" s="283"/>
    </row>
    <row r="313" spans="1:26" s="280" customFormat="1" ht="49.5" hidden="1">
      <c r="A313" s="176">
        <v>8</v>
      </c>
      <c r="B313" s="184" t="s">
        <v>681</v>
      </c>
      <c r="C313" s="183" t="s">
        <v>682</v>
      </c>
      <c r="D313" s="179" t="s">
        <v>683</v>
      </c>
      <c r="E313" s="185">
        <v>737</v>
      </c>
      <c r="F313" s="284"/>
      <c r="G313" s="181">
        <v>335</v>
      </c>
      <c r="H313" s="182">
        <f t="shared" si="56"/>
        <v>402</v>
      </c>
      <c r="I313" s="181">
        <f>585+135</f>
        <v>720</v>
      </c>
      <c r="J313" s="181">
        <v>335</v>
      </c>
      <c r="K313" s="181">
        <v>737</v>
      </c>
      <c r="L313" s="181">
        <v>335</v>
      </c>
      <c r="M313" s="181">
        <v>335</v>
      </c>
      <c r="N313" s="181">
        <v>335</v>
      </c>
      <c r="O313" s="211"/>
      <c r="Q313" s="283"/>
      <c r="R313" s="283"/>
      <c r="S313" s="283"/>
      <c r="T313" s="283"/>
      <c r="U313" s="283"/>
      <c r="V313" s="283"/>
      <c r="W313" s="283"/>
      <c r="X313" s="283"/>
      <c r="Y313" s="283"/>
      <c r="Z313" s="283"/>
    </row>
    <row r="314" spans="1:26" s="280" customFormat="1" ht="49.5" hidden="1">
      <c r="A314" s="176">
        <v>9</v>
      </c>
      <c r="B314" s="184" t="s">
        <v>684</v>
      </c>
      <c r="C314" s="183" t="s">
        <v>682</v>
      </c>
      <c r="D314" s="179" t="s">
        <v>683</v>
      </c>
      <c r="E314" s="185">
        <v>485</v>
      </c>
      <c r="F314" s="284"/>
      <c r="G314" s="181">
        <v>200</v>
      </c>
      <c r="H314" s="182">
        <f t="shared" si="56"/>
        <v>285</v>
      </c>
      <c r="I314" s="181">
        <v>485</v>
      </c>
      <c r="J314" s="181">
        <v>200</v>
      </c>
      <c r="K314" s="181">
        <v>485</v>
      </c>
      <c r="L314" s="181">
        <v>200</v>
      </c>
      <c r="M314" s="181">
        <v>200</v>
      </c>
      <c r="N314" s="181">
        <v>200</v>
      </c>
      <c r="O314" s="211"/>
      <c r="Q314" s="283"/>
      <c r="R314" s="283"/>
      <c r="S314" s="283"/>
      <c r="T314" s="283"/>
      <c r="U314" s="283"/>
      <c r="V314" s="283"/>
      <c r="W314" s="283"/>
      <c r="X314" s="283"/>
      <c r="Y314" s="283"/>
      <c r="Z314" s="283"/>
    </row>
    <row r="315" spans="1:26" s="280" customFormat="1" ht="49.5" hidden="1">
      <c r="A315" s="176">
        <v>10</v>
      </c>
      <c r="B315" s="184" t="s">
        <v>685</v>
      </c>
      <c r="C315" s="183" t="s">
        <v>679</v>
      </c>
      <c r="D315" s="179" t="s">
        <v>686</v>
      </c>
      <c r="E315" s="185">
        <v>807</v>
      </c>
      <c r="F315" s="284"/>
      <c r="G315" s="181">
        <v>225</v>
      </c>
      <c r="H315" s="182">
        <f t="shared" si="56"/>
        <v>582</v>
      </c>
      <c r="I315" s="181">
        <f>524+J315</f>
        <v>749</v>
      </c>
      <c r="J315" s="181">
        <v>225</v>
      </c>
      <c r="K315" s="181">
        <v>749</v>
      </c>
      <c r="L315" s="181">
        <v>225</v>
      </c>
      <c r="M315" s="181">
        <v>225</v>
      </c>
      <c r="N315" s="181">
        <v>225</v>
      </c>
      <c r="O315" s="211"/>
      <c r="Q315" s="283"/>
      <c r="R315" s="283"/>
      <c r="S315" s="283"/>
      <c r="T315" s="283"/>
      <c r="U315" s="283"/>
      <c r="V315" s="283"/>
      <c r="W315" s="283"/>
      <c r="X315" s="283"/>
      <c r="Y315" s="283"/>
      <c r="Z315" s="283"/>
    </row>
    <row r="316" spans="1:26" s="280" customFormat="1" ht="66" hidden="1">
      <c r="A316" s="176">
        <v>11</v>
      </c>
      <c r="B316" s="184" t="s">
        <v>687</v>
      </c>
      <c r="C316" s="183" t="s">
        <v>679</v>
      </c>
      <c r="D316" s="179" t="s">
        <v>688</v>
      </c>
      <c r="E316" s="185">
        <v>927</v>
      </c>
      <c r="F316" s="284"/>
      <c r="G316" s="181">
        <v>200</v>
      </c>
      <c r="H316" s="182">
        <f t="shared" si="56"/>
        <v>727</v>
      </c>
      <c r="I316" s="181">
        <v>421</v>
      </c>
      <c r="J316" s="181">
        <v>200</v>
      </c>
      <c r="K316" s="181">
        <v>649</v>
      </c>
      <c r="L316" s="181">
        <v>200</v>
      </c>
      <c r="M316" s="181">
        <v>200</v>
      </c>
      <c r="N316" s="181">
        <v>200</v>
      </c>
      <c r="O316" s="211"/>
      <c r="Q316" s="283"/>
      <c r="R316" s="283"/>
      <c r="S316" s="283"/>
      <c r="T316" s="283"/>
      <c r="U316" s="283"/>
      <c r="V316" s="283"/>
      <c r="W316" s="283"/>
      <c r="X316" s="283"/>
      <c r="Y316" s="283"/>
      <c r="Z316" s="283"/>
    </row>
    <row r="317" spans="1:26" s="280" customFormat="1" ht="66" hidden="1">
      <c r="A317" s="176">
        <v>12</v>
      </c>
      <c r="B317" s="184" t="s">
        <v>689</v>
      </c>
      <c r="C317" s="183" t="s">
        <v>679</v>
      </c>
      <c r="D317" s="179" t="s">
        <v>690</v>
      </c>
      <c r="E317" s="185">
        <v>900</v>
      </c>
      <c r="F317" s="284"/>
      <c r="G317" s="181">
        <v>595</v>
      </c>
      <c r="H317" s="182">
        <f t="shared" si="56"/>
        <v>305</v>
      </c>
      <c r="I317" s="181">
        <v>795</v>
      </c>
      <c r="J317" s="181">
        <v>595</v>
      </c>
      <c r="K317" s="181">
        <v>835</v>
      </c>
      <c r="L317" s="181">
        <v>595</v>
      </c>
      <c r="M317" s="181">
        <v>595</v>
      </c>
      <c r="N317" s="181">
        <v>595</v>
      </c>
      <c r="O317" s="211"/>
      <c r="Q317" s="283"/>
      <c r="R317" s="283"/>
      <c r="S317" s="283"/>
      <c r="T317" s="283"/>
      <c r="U317" s="283"/>
      <c r="V317" s="283"/>
      <c r="W317" s="283"/>
      <c r="X317" s="283"/>
      <c r="Y317" s="283"/>
      <c r="Z317" s="283"/>
    </row>
    <row r="318" spans="1:26" s="280" customFormat="1" ht="49.5" hidden="1">
      <c r="A318" s="176">
        <v>13</v>
      </c>
      <c r="B318" s="184" t="s">
        <v>691</v>
      </c>
      <c r="C318" s="186" t="s">
        <v>692</v>
      </c>
      <c r="D318" s="184" t="s">
        <v>693</v>
      </c>
      <c r="E318" s="185">
        <v>1103.8</v>
      </c>
      <c r="F318" s="284"/>
      <c r="G318" s="181">
        <v>182</v>
      </c>
      <c r="H318" s="182">
        <f t="shared" si="56"/>
        <v>921.8</v>
      </c>
      <c r="I318" s="181">
        <v>1044</v>
      </c>
      <c r="J318" s="181">
        <v>182</v>
      </c>
      <c r="K318" s="181">
        <v>1044</v>
      </c>
      <c r="L318" s="181">
        <v>182</v>
      </c>
      <c r="M318" s="181">
        <v>182</v>
      </c>
      <c r="N318" s="181">
        <v>182</v>
      </c>
      <c r="O318" s="211"/>
      <c r="Q318" s="285">
        <f>M317-I317</f>
        <v>-200</v>
      </c>
      <c r="R318" s="283"/>
      <c r="S318" s="283"/>
      <c r="T318" s="283"/>
      <c r="U318" s="283"/>
      <c r="V318" s="283"/>
      <c r="W318" s="283"/>
      <c r="X318" s="283"/>
      <c r="Y318" s="283"/>
      <c r="Z318" s="283"/>
    </row>
    <row r="319" spans="1:26" s="280" customFormat="1" ht="49.5" hidden="1">
      <c r="A319" s="176">
        <v>14</v>
      </c>
      <c r="B319" s="184" t="s">
        <v>694</v>
      </c>
      <c r="C319" s="186" t="s">
        <v>695</v>
      </c>
      <c r="D319" s="184" t="s">
        <v>696</v>
      </c>
      <c r="E319" s="185">
        <v>430</v>
      </c>
      <c r="F319" s="284"/>
      <c r="G319" s="181">
        <v>430</v>
      </c>
      <c r="H319" s="182">
        <f t="shared" si="56"/>
        <v>0</v>
      </c>
      <c r="I319" s="181">
        <v>430</v>
      </c>
      <c r="J319" s="181">
        <v>430</v>
      </c>
      <c r="K319" s="181">
        <v>430</v>
      </c>
      <c r="L319" s="181">
        <v>430</v>
      </c>
      <c r="M319" s="181">
        <v>430</v>
      </c>
      <c r="N319" s="181">
        <v>430</v>
      </c>
      <c r="O319" s="211"/>
      <c r="Q319" s="283"/>
      <c r="R319" s="283"/>
      <c r="S319" s="283"/>
      <c r="T319" s="283"/>
      <c r="U319" s="283"/>
      <c r="V319" s="283"/>
      <c r="W319" s="283"/>
      <c r="X319" s="283"/>
      <c r="Y319" s="283"/>
      <c r="Z319" s="283"/>
    </row>
    <row r="320" spans="1:26" s="280" customFormat="1" ht="49.5" hidden="1">
      <c r="A320" s="176">
        <v>15</v>
      </c>
      <c r="B320" s="187" t="s">
        <v>697</v>
      </c>
      <c r="C320" s="288"/>
      <c r="D320" s="289"/>
      <c r="E320" s="185">
        <v>285</v>
      </c>
      <c r="F320" s="284"/>
      <c r="G320" s="181">
        <v>100</v>
      </c>
      <c r="H320" s="182">
        <f t="shared" si="56"/>
        <v>185</v>
      </c>
      <c r="I320" s="181">
        <v>285</v>
      </c>
      <c r="J320" s="181">
        <v>100</v>
      </c>
      <c r="K320" s="181">
        <v>285</v>
      </c>
      <c r="L320" s="181">
        <v>100</v>
      </c>
      <c r="M320" s="181">
        <v>100</v>
      </c>
      <c r="N320" s="181">
        <v>100</v>
      </c>
      <c r="O320" s="211"/>
      <c r="Q320" s="283"/>
      <c r="R320" s="283"/>
      <c r="S320" s="283"/>
      <c r="T320" s="283"/>
      <c r="U320" s="283"/>
      <c r="V320" s="283"/>
      <c r="W320" s="283"/>
      <c r="X320" s="283"/>
      <c r="Y320" s="283"/>
      <c r="Z320" s="283"/>
    </row>
    <row r="321" spans="1:26" s="280" customFormat="1" ht="33" hidden="1">
      <c r="A321" s="176">
        <v>16</v>
      </c>
      <c r="B321" s="187" t="s">
        <v>698</v>
      </c>
      <c r="C321" s="288"/>
      <c r="D321" s="289"/>
      <c r="E321" s="185">
        <v>405</v>
      </c>
      <c r="F321" s="284"/>
      <c r="G321" s="181">
        <v>105</v>
      </c>
      <c r="H321" s="182">
        <f t="shared" si="56"/>
        <v>300</v>
      </c>
      <c r="I321" s="181">
        <v>405</v>
      </c>
      <c r="J321" s="181">
        <v>105</v>
      </c>
      <c r="K321" s="181">
        <v>405</v>
      </c>
      <c r="L321" s="181">
        <v>105</v>
      </c>
      <c r="M321" s="181">
        <v>105</v>
      </c>
      <c r="N321" s="181">
        <v>105</v>
      </c>
      <c r="O321" s="211"/>
      <c r="Q321" s="283"/>
      <c r="R321" s="283"/>
      <c r="S321" s="283"/>
      <c r="T321" s="283"/>
      <c r="U321" s="283"/>
      <c r="V321" s="283"/>
      <c r="W321" s="283"/>
      <c r="X321" s="283"/>
      <c r="Y321" s="283"/>
      <c r="Z321" s="283"/>
    </row>
    <row r="322" spans="1:26" s="280" customFormat="1" ht="33" hidden="1">
      <c r="A322" s="176">
        <v>17</v>
      </c>
      <c r="B322" s="187" t="s">
        <v>699</v>
      </c>
      <c r="C322" s="183"/>
      <c r="D322" s="179"/>
      <c r="E322" s="185">
        <v>51</v>
      </c>
      <c r="F322" s="284"/>
      <c r="G322" s="181">
        <v>50</v>
      </c>
      <c r="H322" s="182">
        <f t="shared" si="56"/>
        <v>1</v>
      </c>
      <c r="I322" s="181">
        <v>50</v>
      </c>
      <c r="J322" s="181">
        <v>50</v>
      </c>
      <c r="K322" s="181">
        <f t="shared" ref="K322:K327" si="57">L322</f>
        <v>50</v>
      </c>
      <c r="L322" s="181">
        <v>50</v>
      </c>
      <c r="M322" s="181">
        <v>50</v>
      </c>
      <c r="N322" s="181">
        <v>50</v>
      </c>
      <c r="O322" s="211"/>
      <c r="Q322" s="283"/>
      <c r="R322" s="283"/>
      <c r="S322" s="283"/>
      <c r="T322" s="283"/>
      <c r="U322" s="283"/>
      <c r="V322" s="283"/>
      <c r="W322" s="283"/>
      <c r="X322" s="283"/>
      <c r="Y322" s="283"/>
      <c r="Z322" s="283"/>
    </row>
    <row r="323" spans="1:26" s="280" customFormat="1" ht="17.25" hidden="1">
      <c r="A323" s="176">
        <v>18</v>
      </c>
      <c r="B323" s="187" t="s">
        <v>700</v>
      </c>
      <c r="C323" s="183">
        <v>2019</v>
      </c>
      <c r="D323" s="179"/>
      <c r="E323" s="185">
        <v>178</v>
      </c>
      <c r="F323" s="284"/>
      <c r="G323" s="181">
        <v>178</v>
      </c>
      <c r="H323" s="182">
        <f t="shared" si="56"/>
        <v>0</v>
      </c>
      <c r="I323" s="181">
        <v>178</v>
      </c>
      <c r="J323" s="181">
        <v>178</v>
      </c>
      <c r="K323" s="181">
        <f t="shared" si="57"/>
        <v>178</v>
      </c>
      <c r="L323" s="181">
        <v>178</v>
      </c>
      <c r="M323" s="181">
        <v>178</v>
      </c>
      <c r="N323" s="181">
        <v>178</v>
      </c>
      <c r="O323" s="211"/>
      <c r="Q323" s="283"/>
      <c r="R323" s="283"/>
      <c r="S323" s="283"/>
      <c r="T323" s="283"/>
      <c r="U323" s="283"/>
      <c r="V323" s="283"/>
      <c r="W323" s="283"/>
      <c r="X323" s="283"/>
      <c r="Y323" s="283"/>
      <c r="Z323" s="283"/>
    </row>
    <row r="324" spans="1:26" s="280" customFormat="1" ht="17.25" hidden="1">
      <c r="A324" s="176">
        <v>19</v>
      </c>
      <c r="B324" s="187" t="s">
        <v>701</v>
      </c>
      <c r="C324" s="183">
        <v>2019</v>
      </c>
      <c r="D324" s="289"/>
      <c r="E324" s="185">
        <v>178</v>
      </c>
      <c r="F324" s="284"/>
      <c r="G324" s="181">
        <v>78</v>
      </c>
      <c r="H324" s="182">
        <f t="shared" si="56"/>
        <v>100</v>
      </c>
      <c r="I324" s="181">
        <v>178</v>
      </c>
      <c r="J324" s="181">
        <v>78</v>
      </c>
      <c r="K324" s="181">
        <v>178</v>
      </c>
      <c r="L324" s="181">
        <v>78</v>
      </c>
      <c r="M324" s="181">
        <v>78</v>
      </c>
      <c r="N324" s="181">
        <v>78</v>
      </c>
      <c r="O324" s="211"/>
      <c r="Q324" s="283"/>
      <c r="R324" s="283"/>
      <c r="S324" s="283"/>
      <c r="T324" s="283"/>
      <c r="U324" s="283"/>
      <c r="V324" s="283"/>
      <c r="W324" s="283"/>
      <c r="X324" s="283"/>
      <c r="Y324" s="283"/>
      <c r="Z324" s="283"/>
    </row>
    <row r="325" spans="1:26" s="280" customFormat="1" ht="33" hidden="1">
      <c r="A325" s="176">
        <v>20</v>
      </c>
      <c r="B325" s="240" t="s">
        <v>702</v>
      </c>
      <c r="C325" s="183">
        <v>2019</v>
      </c>
      <c r="D325" s="289"/>
      <c r="E325" s="185">
        <v>1243</v>
      </c>
      <c r="F325" s="284"/>
      <c r="G325" s="181">
        <v>616</v>
      </c>
      <c r="H325" s="182">
        <f t="shared" si="56"/>
        <v>627</v>
      </c>
      <c r="I325" s="181">
        <v>1243</v>
      </c>
      <c r="J325" s="181">
        <v>616</v>
      </c>
      <c r="K325" s="181">
        <v>1243</v>
      </c>
      <c r="L325" s="181">
        <v>616</v>
      </c>
      <c r="M325" s="181">
        <v>616</v>
      </c>
      <c r="N325" s="181">
        <v>616</v>
      </c>
      <c r="O325" s="211"/>
      <c r="Q325" s="283"/>
      <c r="R325" s="283"/>
      <c r="S325" s="283"/>
      <c r="T325" s="283"/>
      <c r="U325" s="283"/>
      <c r="V325" s="283"/>
      <c r="W325" s="283"/>
      <c r="X325" s="283"/>
      <c r="Y325" s="283"/>
      <c r="Z325" s="283"/>
    </row>
    <row r="326" spans="1:26" s="280" customFormat="1" ht="49.5" hidden="1">
      <c r="A326" s="176">
        <v>21</v>
      </c>
      <c r="B326" s="184" t="s">
        <v>703</v>
      </c>
      <c r="C326" s="183" t="s">
        <v>682</v>
      </c>
      <c r="D326" s="179" t="s">
        <v>704</v>
      </c>
      <c r="E326" s="185">
        <v>1116</v>
      </c>
      <c r="F326" s="284"/>
      <c r="G326" s="181">
        <v>400</v>
      </c>
      <c r="H326" s="182">
        <f t="shared" si="56"/>
        <v>716</v>
      </c>
      <c r="I326" s="181">
        <v>1021</v>
      </c>
      <c r="J326" s="181">
        <v>400</v>
      </c>
      <c r="K326" s="181">
        <v>1021</v>
      </c>
      <c r="L326" s="181">
        <v>400</v>
      </c>
      <c r="M326" s="181">
        <v>400</v>
      </c>
      <c r="N326" s="181">
        <v>400</v>
      </c>
      <c r="O326" s="211"/>
      <c r="Q326" s="283"/>
      <c r="R326" s="283"/>
      <c r="S326" s="283"/>
      <c r="T326" s="283"/>
      <c r="U326" s="283"/>
      <c r="V326" s="283"/>
      <c r="W326" s="283"/>
      <c r="X326" s="283">
        <v>165</v>
      </c>
      <c r="Y326" s="283"/>
      <c r="Z326" s="283"/>
    </row>
    <row r="327" spans="1:26" s="280" customFormat="1" ht="49.5" hidden="1">
      <c r="A327" s="176">
        <v>22</v>
      </c>
      <c r="B327" s="184" t="s">
        <v>705</v>
      </c>
      <c r="C327" s="183" t="s">
        <v>679</v>
      </c>
      <c r="D327" s="179" t="s">
        <v>706</v>
      </c>
      <c r="E327" s="185">
        <v>975</v>
      </c>
      <c r="F327" s="284"/>
      <c r="G327" s="181">
        <v>87</v>
      </c>
      <c r="H327" s="182">
        <f t="shared" si="56"/>
        <v>888</v>
      </c>
      <c r="I327" s="181">
        <v>897</v>
      </c>
      <c r="J327" s="181">
        <v>87</v>
      </c>
      <c r="K327" s="181">
        <f t="shared" si="57"/>
        <v>87</v>
      </c>
      <c r="L327" s="181">
        <v>87</v>
      </c>
      <c r="M327" s="181">
        <v>87</v>
      </c>
      <c r="N327" s="181">
        <v>87</v>
      </c>
      <c r="O327" s="211"/>
      <c r="Q327" s="283"/>
      <c r="R327" s="283"/>
      <c r="S327" s="283"/>
      <c r="T327" s="283"/>
      <c r="U327" s="283"/>
      <c r="V327" s="283"/>
      <c r="W327" s="283"/>
      <c r="X327" s="283"/>
      <c r="Y327" s="283"/>
      <c r="Z327" s="283"/>
    </row>
    <row r="328" spans="1:26" s="280" customFormat="1" ht="66" hidden="1">
      <c r="A328" s="176">
        <v>28</v>
      </c>
      <c r="B328" s="188" t="s">
        <v>707</v>
      </c>
      <c r="C328" s="47" t="s">
        <v>708</v>
      </c>
      <c r="D328" s="179" t="s">
        <v>709</v>
      </c>
      <c r="E328" s="185">
        <v>4421</v>
      </c>
      <c r="F328" s="182"/>
      <c r="G328" s="181">
        <f>2600+372</f>
        <v>2972</v>
      </c>
      <c r="H328" s="182">
        <f t="shared" si="56"/>
        <v>1449</v>
      </c>
      <c r="I328" s="181">
        <v>3379</v>
      </c>
      <c r="J328" s="181">
        <f>2600+372</f>
        <v>2972</v>
      </c>
      <c r="K328" s="181">
        <v>4215</v>
      </c>
      <c r="L328" s="181">
        <f>2600+372</f>
        <v>2972</v>
      </c>
      <c r="M328" s="181">
        <f>2600+372</f>
        <v>2972</v>
      </c>
      <c r="N328" s="181">
        <f>2600+372</f>
        <v>2972</v>
      </c>
      <c r="O328" s="211"/>
      <c r="Q328" s="283"/>
      <c r="R328" s="283"/>
      <c r="S328" s="283"/>
      <c r="T328" s="283"/>
      <c r="U328" s="283"/>
      <c r="V328" s="283"/>
      <c r="W328" s="283"/>
      <c r="X328" s="283"/>
      <c r="Y328" s="283"/>
      <c r="Z328" s="283"/>
    </row>
    <row r="329" spans="1:26" s="280" customFormat="1" ht="17.25">
      <c r="A329" s="176"/>
      <c r="B329" s="188" t="s">
        <v>809</v>
      </c>
      <c r="C329" s="47"/>
      <c r="D329" s="179"/>
      <c r="E329" s="185"/>
      <c r="F329" s="182"/>
      <c r="G329" s="181"/>
      <c r="H329" s="182"/>
      <c r="I329" s="181"/>
      <c r="J329" s="181">
        <v>800</v>
      </c>
      <c r="K329" s="181"/>
      <c r="L329" s="181"/>
      <c r="M329" s="181">
        <v>800</v>
      </c>
      <c r="N329" s="181">
        <v>800</v>
      </c>
      <c r="O329" s="211"/>
      <c r="P329" s="280">
        <v>1</v>
      </c>
      <c r="Q329" s="283"/>
      <c r="R329" s="283"/>
      <c r="S329" s="283"/>
      <c r="T329" s="283"/>
      <c r="U329" s="283"/>
      <c r="V329" s="283"/>
      <c r="W329" s="283"/>
      <c r="X329" s="283">
        <v>800</v>
      </c>
      <c r="Y329" s="283"/>
      <c r="Z329" s="283"/>
    </row>
    <row r="330" spans="1:26" s="280" customFormat="1" ht="33" hidden="1">
      <c r="A330" s="176"/>
      <c r="B330" s="188" t="s">
        <v>789</v>
      </c>
      <c r="C330" s="47"/>
      <c r="D330" s="179"/>
      <c r="E330" s="185"/>
      <c r="F330" s="182"/>
      <c r="G330" s="181"/>
      <c r="H330" s="182"/>
      <c r="I330" s="181"/>
      <c r="J330" s="181">
        <v>250</v>
      </c>
      <c r="K330" s="181"/>
      <c r="L330" s="181"/>
      <c r="M330" s="181">
        <v>250</v>
      </c>
      <c r="N330" s="181">
        <v>250</v>
      </c>
      <c r="O330" s="211"/>
      <c r="Q330" s="283"/>
      <c r="R330" s="283"/>
      <c r="S330" s="283"/>
      <c r="T330" s="283"/>
      <c r="U330" s="283"/>
      <c r="V330" s="283"/>
      <c r="W330" s="283"/>
      <c r="X330" s="283"/>
      <c r="Y330" s="283"/>
      <c r="Z330" s="283"/>
    </row>
    <row r="331" spans="1:26" s="280" customFormat="1" ht="33" hidden="1">
      <c r="A331" s="176"/>
      <c r="B331" s="188" t="s">
        <v>790</v>
      </c>
      <c r="C331" s="47"/>
      <c r="D331" s="179"/>
      <c r="E331" s="185"/>
      <c r="F331" s="182"/>
      <c r="G331" s="181"/>
      <c r="H331" s="182"/>
      <c r="I331" s="181"/>
      <c r="J331" s="181">
        <v>500</v>
      </c>
      <c r="K331" s="181"/>
      <c r="L331" s="181"/>
      <c r="M331" s="181">
        <v>500</v>
      </c>
      <c r="N331" s="181">
        <v>500</v>
      </c>
      <c r="O331" s="211"/>
      <c r="Q331" s="283"/>
      <c r="R331" s="283"/>
      <c r="S331" s="283"/>
      <c r="T331" s="283"/>
      <c r="U331" s="283"/>
      <c r="V331" s="283"/>
      <c r="W331" s="283"/>
      <c r="X331" s="283"/>
      <c r="Y331" s="283"/>
      <c r="Z331" s="283"/>
    </row>
    <row r="332" spans="1:26" s="280" customFormat="1" ht="49.5" hidden="1">
      <c r="A332" s="176"/>
      <c r="B332" s="188" t="s">
        <v>791</v>
      </c>
      <c r="C332" s="47"/>
      <c r="D332" s="179"/>
      <c r="E332" s="185"/>
      <c r="F332" s="182"/>
      <c r="G332" s="181"/>
      <c r="H332" s="182"/>
      <c r="I332" s="181"/>
      <c r="J332" s="181">
        <v>300</v>
      </c>
      <c r="K332" s="181"/>
      <c r="L332" s="181"/>
      <c r="M332" s="181">
        <v>300</v>
      </c>
      <c r="N332" s="181">
        <v>300</v>
      </c>
      <c r="O332" s="211"/>
      <c r="Q332" s="283"/>
      <c r="R332" s="283"/>
      <c r="S332" s="283"/>
      <c r="T332" s="283"/>
      <c r="U332" s="283"/>
      <c r="V332" s="283"/>
      <c r="W332" s="283"/>
      <c r="X332" s="283">
        <v>300</v>
      </c>
      <c r="Y332" s="283"/>
      <c r="Z332" s="283"/>
    </row>
    <row r="333" spans="1:26" s="280" customFormat="1" ht="33">
      <c r="A333" s="176"/>
      <c r="B333" s="188" t="s">
        <v>802</v>
      </c>
      <c r="C333" s="47"/>
      <c r="D333" s="179"/>
      <c r="E333" s="185"/>
      <c r="F333" s="182"/>
      <c r="G333" s="181"/>
      <c r="H333" s="182"/>
      <c r="I333" s="181"/>
      <c r="J333" s="181">
        <v>151</v>
      </c>
      <c r="K333" s="181"/>
      <c r="L333" s="181"/>
      <c r="M333" s="181">
        <v>151</v>
      </c>
      <c r="N333" s="181">
        <v>151</v>
      </c>
      <c r="O333" s="211"/>
      <c r="P333" s="280">
        <v>1</v>
      </c>
      <c r="Q333" s="283"/>
      <c r="R333" s="283"/>
      <c r="S333" s="283"/>
      <c r="T333" s="283"/>
      <c r="U333" s="283"/>
      <c r="V333" s="283"/>
      <c r="W333" s="283">
        <v>151</v>
      </c>
      <c r="X333" s="283"/>
      <c r="Y333" s="283"/>
      <c r="Z333" s="283"/>
    </row>
    <row r="334" spans="1:26" s="280" customFormat="1" ht="33">
      <c r="A334" s="176"/>
      <c r="B334" s="188" t="s">
        <v>803</v>
      </c>
      <c r="C334" s="47"/>
      <c r="D334" s="179"/>
      <c r="E334" s="185"/>
      <c r="F334" s="182"/>
      <c r="G334" s="181"/>
      <c r="H334" s="182"/>
      <c r="I334" s="181"/>
      <c r="J334" s="181"/>
      <c r="K334" s="181"/>
      <c r="L334" s="181"/>
      <c r="M334" s="181"/>
      <c r="N334" s="181"/>
      <c r="O334" s="211"/>
      <c r="P334" s="280">
        <v>1</v>
      </c>
      <c r="Q334" s="283"/>
      <c r="R334" s="283"/>
      <c r="S334" s="283"/>
      <c r="T334" s="283"/>
      <c r="U334" s="283"/>
      <c r="V334" s="283"/>
      <c r="W334" s="283">
        <v>900</v>
      </c>
      <c r="X334" s="283"/>
      <c r="Y334" s="283"/>
      <c r="Z334" s="283"/>
    </row>
    <row r="335" spans="1:26" s="280" customFormat="1" ht="49.5" hidden="1">
      <c r="A335" s="176"/>
      <c r="B335" s="188" t="s">
        <v>808</v>
      </c>
      <c r="C335" s="47"/>
      <c r="D335" s="179"/>
      <c r="E335" s="185"/>
      <c r="F335" s="182"/>
      <c r="G335" s="181"/>
      <c r="H335" s="182"/>
      <c r="I335" s="181"/>
      <c r="J335" s="181">
        <v>46</v>
      </c>
      <c r="K335" s="181"/>
      <c r="L335" s="181"/>
      <c r="M335" s="181">
        <v>46</v>
      </c>
      <c r="N335" s="181">
        <v>46</v>
      </c>
      <c r="O335" s="211"/>
      <c r="Q335" s="283"/>
      <c r="R335" s="283"/>
      <c r="S335" s="283"/>
      <c r="T335" s="283"/>
      <c r="U335" s="283"/>
      <c r="V335" s="283"/>
      <c r="W335" s="283"/>
      <c r="X335" s="283">
        <v>46</v>
      </c>
      <c r="Y335" s="283"/>
      <c r="Z335" s="283"/>
    </row>
    <row r="336" spans="1:26" s="281" customFormat="1" ht="17.25" hidden="1">
      <c r="A336" s="246" t="s">
        <v>743</v>
      </c>
      <c r="B336" s="81" t="s">
        <v>718</v>
      </c>
      <c r="C336" s="247"/>
      <c r="D336" s="247"/>
      <c r="E336" s="37">
        <f>E337+E338+E339</f>
        <v>4943.6710000000003</v>
      </c>
      <c r="F336" s="37">
        <f t="shared" ref="F336:N336" si="58">F337+F338+F339</f>
        <v>600</v>
      </c>
      <c r="G336" s="37">
        <f t="shared" si="58"/>
        <v>2500</v>
      </c>
      <c r="H336" s="37">
        <f t="shared" si="58"/>
        <v>1843.671</v>
      </c>
      <c r="I336" s="37">
        <f t="shared" si="58"/>
        <v>4614.1750000000002</v>
      </c>
      <c r="J336" s="37">
        <f t="shared" si="58"/>
        <v>2500</v>
      </c>
      <c r="K336" s="37">
        <f t="shared" si="58"/>
        <v>4734.6480000000001</v>
      </c>
      <c r="L336" s="37">
        <f t="shared" si="58"/>
        <v>5000</v>
      </c>
      <c r="M336" s="37">
        <f t="shared" si="58"/>
        <v>2500</v>
      </c>
      <c r="N336" s="37">
        <f t="shared" si="58"/>
        <v>2500</v>
      </c>
      <c r="O336" s="37"/>
      <c r="Q336" s="282"/>
      <c r="R336" s="282"/>
      <c r="S336" s="282"/>
      <c r="T336" s="282"/>
      <c r="U336" s="282"/>
      <c r="V336" s="282"/>
      <c r="W336" s="282"/>
      <c r="X336" s="282"/>
      <c r="Y336" s="282"/>
      <c r="Z336" s="282"/>
    </row>
    <row r="337" spans="1:26" s="281" customFormat="1" ht="49.5" hidden="1">
      <c r="A337" s="189"/>
      <c r="B337" s="190" t="s">
        <v>379</v>
      </c>
      <c r="C337" s="170"/>
      <c r="D337" s="191"/>
      <c r="E337" s="192"/>
      <c r="F337" s="193"/>
      <c r="G337" s="194"/>
      <c r="H337" s="193"/>
      <c r="I337" s="194"/>
      <c r="J337" s="194"/>
      <c r="K337" s="194"/>
      <c r="L337" s="194"/>
      <c r="M337" s="194"/>
      <c r="N337" s="194"/>
      <c r="O337" s="211"/>
      <c r="Q337" s="282"/>
      <c r="R337" s="282"/>
      <c r="S337" s="282"/>
      <c r="T337" s="282"/>
      <c r="U337" s="282"/>
      <c r="V337" s="282"/>
      <c r="W337" s="282"/>
      <c r="X337" s="282"/>
      <c r="Y337" s="282"/>
      <c r="Z337" s="282"/>
    </row>
    <row r="338" spans="1:26" s="281" customFormat="1" ht="33" hidden="1">
      <c r="A338" s="189"/>
      <c r="B338" s="190" t="s">
        <v>141</v>
      </c>
      <c r="C338" s="170"/>
      <c r="D338" s="191"/>
      <c r="E338" s="192"/>
      <c r="F338" s="193"/>
      <c r="G338" s="194"/>
      <c r="H338" s="193"/>
      <c r="I338" s="194"/>
      <c r="J338" s="194"/>
      <c r="K338" s="194"/>
      <c r="L338" s="194"/>
      <c r="M338" s="194"/>
      <c r="N338" s="194"/>
      <c r="O338" s="211"/>
      <c r="Q338" s="282"/>
      <c r="R338" s="282"/>
      <c r="S338" s="282"/>
      <c r="T338" s="282"/>
      <c r="U338" s="282"/>
      <c r="V338" s="282"/>
      <c r="W338" s="282"/>
      <c r="X338" s="282"/>
      <c r="Y338" s="282"/>
      <c r="Z338" s="282"/>
    </row>
    <row r="339" spans="1:26" s="281" customFormat="1" ht="33" hidden="1">
      <c r="A339" s="189"/>
      <c r="B339" s="190" t="s">
        <v>335</v>
      </c>
      <c r="C339" s="170"/>
      <c r="D339" s="191"/>
      <c r="E339" s="192">
        <f>SUM(E340:E341)</f>
        <v>4943.6710000000003</v>
      </c>
      <c r="F339" s="193">
        <f t="shared" ref="F339:N339" si="59">SUM(F340:F341)</f>
        <v>600</v>
      </c>
      <c r="G339" s="194">
        <f t="shared" si="59"/>
        <v>2500</v>
      </c>
      <c r="H339" s="193">
        <f t="shared" si="59"/>
        <v>1843.671</v>
      </c>
      <c r="I339" s="194">
        <f t="shared" si="59"/>
        <v>4614.1750000000002</v>
      </c>
      <c r="J339" s="194">
        <f t="shared" si="59"/>
        <v>2500</v>
      </c>
      <c r="K339" s="194">
        <f t="shared" si="59"/>
        <v>4734.6480000000001</v>
      </c>
      <c r="L339" s="194">
        <f t="shared" si="59"/>
        <v>5000</v>
      </c>
      <c r="M339" s="194">
        <f t="shared" si="59"/>
        <v>2500</v>
      </c>
      <c r="N339" s="194">
        <f t="shared" si="59"/>
        <v>2500</v>
      </c>
      <c r="O339" s="211"/>
      <c r="Q339" s="282"/>
      <c r="R339" s="282"/>
      <c r="S339" s="282"/>
      <c r="T339" s="282"/>
      <c r="U339" s="282"/>
      <c r="V339" s="282"/>
      <c r="W339" s="282"/>
      <c r="X339" s="282"/>
      <c r="Y339" s="282"/>
      <c r="Z339" s="282"/>
    </row>
    <row r="340" spans="1:26" s="280" customFormat="1" ht="66" hidden="1">
      <c r="A340" s="176">
        <v>1</v>
      </c>
      <c r="B340" s="188" t="s">
        <v>712</v>
      </c>
      <c r="C340" s="47" t="s">
        <v>713</v>
      </c>
      <c r="D340" s="179" t="s">
        <v>714</v>
      </c>
      <c r="E340" s="185">
        <v>1943.671</v>
      </c>
      <c r="F340" s="182">
        <v>600</v>
      </c>
      <c r="G340" s="181">
        <v>1000</v>
      </c>
      <c r="H340" s="182">
        <f>E340-F340-G340</f>
        <v>343.67100000000005</v>
      </c>
      <c r="I340" s="181">
        <v>1816.3030000000001</v>
      </c>
      <c r="J340" s="181">
        <v>1000</v>
      </c>
      <c r="K340" s="181">
        <v>1833.7329999999999</v>
      </c>
      <c r="L340" s="181">
        <f>M340+N340</f>
        <v>2000</v>
      </c>
      <c r="M340" s="181">
        <v>1000</v>
      </c>
      <c r="N340" s="181">
        <v>1000</v>
      </c>
      <c r="O340" s="211"/>
      <c r="Q340" s="283"/>
      <c r="R340" s="283"/>
      <c r="S340" s="283"/>
      <c r="T340" s="283"/>
      <c r="U340" s="283"/>
      <c r="V340" s="283"/>
      <c r="W340" s="283"/>
      <c r="X340" s="283"/>
      <c r="Y340" s="283"/>
      <c r="Z340" s="283"/>
    </row>
    <row r="341" spans="1:26" s="280" customFormat="1" ht="99" hidden="1">
      <c r="A341" s="176">
        <v>2</v>
      </c>
      <c r="B341" s="188" t="s">
        <v>715</v>
      </c>
      <c r="C341" s="47" t="s">
        <v>716</v>
      </c>
      <c r="D341" s="179" t="s">
        <v>717</v>
      </c>
      <c r="E341" s="185">
        <v>3000</v>
      </c>
      <c r="F341" s="182">
        <v>0</v>
      </c>
      <c r="G341" s="181">
        <v>1500</v>
      </c>
      <c r="H341" s="182">
        <f>E341-G341</f>
        <v>1500</v>
      </c>
      <c r="I341" s="181">
        <v>2797.8719999999998</v>
      </c>
      <c r="J341" s="181">
        <v>1500</v>
      </c>
      <c r="K341" s="181">
        <v>2900.915</v>
      </c>
      <c r="L341" s="181">
        <f>M341+N341</f>
        <v>3000</v>
      </c>
      <c r="M341" s="181">
        <v>1500</v>
      </c>
      <c r="N341" s="181">
        <v>1500</v>
      </c>
      <c r="O341" s="211"/>
      <c r="Q341" s="283"/>
      <c r="R341" s="283"/>
      <c r="S341" s="283"/>
      <c r="T341" s="283"/>
      <c r="U341" s="283"/>
      <c r="V341" s="283"/>
      <c r="W341" s="283"/>
      <c r="X341" s="283"/>
      <c r="Y341" s="283"/>
      <c r="Z341" s="283"/>
    </row>
    <row r="342" spans="1:26" s="210" customFormat="1" ht="16.5" hidden="1">
      <c r="A342" s="254" t="s">
        <v>756</v>
      </c>
      <c r="B342" s="255" t="s">
        <v>741</v>
      </c>
      <c r="C342" s="248"/>
      <c r="D342" s="248"/>
      <c r="E342" s="72">
        <f t="shared" ref="E342:L342" si="60">E345</f>
        <v>17728</v>
      </c>
      <c r="F342" s="72">
        <f t="shared" si="60"/>
        <v>400</v>
      </c>
      <c r="G342" s="72">
        <f t="shared" si="60"/>
        <v>3317</v>
      </c>
      <c r="H342" s="72">
        <f t="shared" si="60"/>
        <v>14011</v>
      </c>
      <c r="I342" s="72">
        <f t="shared" si="60"/>
        <v>11263</v>
      </c>
      <c r="J342" s="72">
        <f t="shared" si="60"/>
        <v>3317</v>
      </c>
      <c r="K342" s="72">
        <f t="shared" si="60"/>
        <v>15004</v>
      </c>
      <c r="L342" s="72">
        <f t="shared" si="60"/>
        <v>11263</v>
      </c>
      <c r="M342" s="72">
        <f>M345</f>
        <v>2427</v>
      </c>
      <c r="N342" s="72">
        <f>N345</f>
        <v>3317</v>
      </c>
      <c r="O342" s="256"/>
      <c r="Q342" s="211"/>
      <c r="R342" s="211"/>
      <c r="S342" s="211"/>
      <c r="T342" s="211"/>
      <c r="U342" s="211"/>
      <c r="V342" s="211"/>
      <c r="W342" s="211"/>
      <c r="X342" s="211"/>
      <c r="Y342" s="211"/>
      <c r="Z342" s="211"/>
    </row>
    <row r="343" spans="1:26" s="210" customFormat="1" ht="49.5" hidden="1">
      <c r="A343" s="246" t="s">
        <v>21</v>
      </c>
      <c r="B343" s="73" t="s">
        <v>379</v>
      </c>
      <c r="C343" s="247"/>
      <c r="D343" s="257"/>
      <c r="E343" s="37"/>
      <c r="F343" s="37"/>
      <c r="G343" s="37"/>
      <c r="H343" s="37"/>
      <c r="I343" s="37"/>
      <c r="J343" s="37"/>
      <c r="K343" s="37"/>
      <c r="L343" s="37"/>
      <c r="M343" s="37"/>
      <c r="N343" s="37"/>
      <c r="O343" s="211"/>
      <c r="Q343" s="211"/>
      <c r="R343" s="211"/>
      <c r="S343" s="211"/>
      <c r="T343" s="211"/>
      <c r="U343" s="211"/>
      <c r="V343" s="211"/>
      <c r="W343" s="211"/>
      <c r="X343" s="211"/>
      <c r="Y343" s="211"/>
      <c r="Z343" s="211"/>
    </row>
    <row r="344" spans="1:26" s="210" customFormat="1" ht="33" hidden="1">
      <c r="A344" s="246" t="s">
        <v>28</v>
      </c>
      <c r="B344" s="22" t="s">
        <v>141</v>
      </c>
      <c r="C344" s="23"/>
      <c r="D344" s="24"/>
      <c r="E344" s="25"/>
      <c r="F344" s="25"/>
      <c r="G344" s="25"/>
      <c r="H344" s="25"/>
      <c r="I344" s="25"/>
      <c r="J344" s="25"/>
      <c r="K344" s="25"/>
      <c r="L344" s="25"/>
      <c r="M344" s="25"/>
      <c r="N344" s="25"/>
      <c r="O344" s="211"/>
      <c r="Q344" s="211"/>
      <c r="R344" s="211"/>
      <c r="S344" s="211"/>
      <c r="T344" s="211"/>
      <c r="U344" s="211"/>
      <c r="V344" s="211"/>
      <c r="W344" s="211"/>
      <c r="X344" s="211"/>
      <c r="Y344" s="211"/>
      <c r="Z344" s="211"/>
    </row>
    <row r="345" spans="1:26" s="210" customFormat="1" ht="36.75" hidden="1" customHeight="1">
      <c r="A345" s="246" t="s">
        <v>28</v>
      </c>
      <c r="B345" s="22" t="s">
        <v>335</v>
      </c>
      <c r="C345" s="23"/>
      <c r="D345" s="24"/>
      <c r="E345" s="25">
        <f>SUM(E346:E354)</f>
        <v>17728</v>
      </c>
      <c r="F345" s="25">
        <f t="shared" ref="F345:N345" si="61">SUM(F346:F354)</f>
        <v>400</v>
      </c>
      <c r="G345" s="25">
        <f t="shared" si="61"/>
        <v>3317</v>
      </c>
      <c r="H345" s="25">
        <f t="shared" si="61"/>
        <v>14011</v>
      </c>
      <c r="I345" s="25">
        <f t="shared" si="61"/>
        <v>11263</v>
      </c>
      <c r="J345" s="25">
        <f t="shared" si="61"/>
        <v>3317</v>
      </c>
      <c r="K345" s="25">
        <f t="shared" si="61"/>
        <v>15004</v>
      </c>
      <c r="L345" s="25">
        <f t="shared" si="61"/>
        <v>11263</v>
      </c>
      <c r="M345" s="25">
        <f t="shared" si="61"/>
        <v>2427</v>
      </c>
      <c r="N345" s="25">
        <f t="shared" si="61"/>
        <v>3317</v>
      </c>
      <c r="O345" s="211"/>
      <c r="Q345" s="211"/>
      <c r="R345" s="211"/>
      <c r="S345" s="211"/>
      <c r="T345" s="211"/>
      <c r="U345" s="211"/>
      <c r="V345" s="211"/>
      <c r="W345" s="211"/>
      <c r="X345" s="211"/>
      <c r="Y345" s="211"/>
      <c r="Z345" s="211"/>
    </row>
    <row r="346" spans="1:26" s="83" customFormat="1" ht="52.5" customHeight="1">
      <c r="A346" s="34"/>
      <c r="B346" s="75" t="s">
        <v>721</v>
      </c>
      <c r="C346" s="76" t="s">
        <v>156</v>
      </c>
      <c r="D346" s="46" t="s">
        <v>722</v>
      </c>
      <c r="E346" s="54">
        <v>2724</v>
      </c>
      <c r="F346" s="33"/>
      <c r="G346" s="33">
        <v>728</v>
      </c>
      <c r="H346" s="33">
        <f>+E346-F346-G346</f>
        <v>1996</v>
      </c>
      <c r="I346" s="33">
        <v>2538</v>
      </c>
      <c r="J346" s="33">
        <v>728</v>
      </c>
      <c r="K346" s="33">
        <v>2574</v>
      </c>
      <c r="L346" s="33">
        <v>2538</v>
      </c>
      <c r="M346" s="33">
        <v>728</v>
      </c>
      <c r="N346" s="33">
        <v>728</v>
      </c>
      <c r="O346" s="82"/>
      <c r="P346" s="258">
        <v>1</v>
      </c>
      <c r="Q346" s="82"/>
      <c r="R346" s="82"/>
      <c r="S346" s="82"/>
      <c r="T346" s="82"/>
      <c r="U346" s="82"/>
      <c r="V346" s="82"/>
      <c r="W346" s="82"/>
      <c r="X346" s="82"/>
      <c r="Y346" s="82"/>
      <c r="Z346" s="82"/>
    </row>
    <row r="347" spans="1:26" s="210" customFormat="1" ht="72.75" hidden="1" customHeight="1">
      <c r="A347" s="246"/>
      <c r="B347" s="286" t="s">
        <v>723</v>
      </c>
      <c r="C347" s="76" t="s">
        <v>724</v>
      </c>
      <c r="D347" s="46" t="s">
        <v>725</v>
      </c>
      <c r="E347" s="33">
        <v>2983</v>
      </c>
      <c r="F347" s="33"/>
      <c r="G347" s="33">
        <v>850</v>
      </c>
      <c r="H347" s="33">
        <f t="shared" ref="H347:H354" si="62">+E347-F347-G347</f>
        <v>2133</v>
      </c>
      <c r="I347" s="33">
        <v>1350</v>
      </c>
      <c r="J347" s="33">
        <v>850</v>
      </c>
      <c r="K347" s="33">
        <v>2000</v>
      </c>
      <c r="L347" s="33">
        <v>1350</v>
      </c>
      <c r="M347" s="33">
        <v>850</v>
      </c>
      <c r="N347" s="33">
        <f>850</f>
        <v>850</v>
      </c>
      <c r="O347" s="82"/>
      <c r="Q347" s="211"/>
      <c r="R347" s="211"/>
      <c r="S347" s="211"/>
      <c r="T347" s="211"/>
      <c r="U347" s="211"/>
      <c r="V347" s="211"/>
      <c r="W347" s="211"/>
      <c r="X347" s="211"/>
      <c r="Y347" s="211"/>
      <c r="Z347" s="211"/>
    </row>
    <row r="348" spans="1:26" s="210" customFormat="1" ht="57" hidden="1" customHeight="1">
      <c r="A348" s="246"/>
      <c r="B348" s="58" t="s">
        <v>726</v>
      </c>
      <c r="C348" s="76" t="s">
        <v>219</v>
      </c>
      <c r="D348" s="46" t="s">
        <v>727</v>
      </c>
      <c r="E348" s="33">
        <v>3483</v>
      </c>
      <c r="F348" s="33"/>
      <c r="G348" s="33">
        <v>1000</v>
      </c>
      <c r="H348" s="33">
        <f t="shared" si="62"/>
        <v>2483</v>
      </c>
      <c r="I348" s="33">
        <v>2686</v>
      </c>
      <c r="J348" s="33">
        <v>1000</v>
      </c>
      <c r="K348" s="33">
        <f>3400+106+90+220</f>
        <v>3816</v>
      </c>
      <c r="L348" s="33">
        <v>2686</v>
      </c>
      <c r="M348" s="33">
        <v>160</v>
      </c>
      <c r="N348" s="33">
        <v>1000</v>
      </c>
      <c r="O348" s="82"/>
      <c r="Q348" s="211"/>
      <c r="R348" s="211"/>
      <c r="S348" s="211"/>
      <c r="T348" s="211"/>
      <c r="U348" s="211"/>
      <c r="V348" s="211"/>
      <c r="W348" s="211"/>
      <c r="X348" s="211">
        <v>850</v>
      </c>
      <c r="Y348" s="211"/>
      <c r="Z348" s="211"/>
    </row>
    <row r="349" spans="1:26" s="210" customFormat="1" ht="51.75" hidden="1" customHeight="1">
      <c r="A349" s="246"/>
      <c r="B349" s="58" t="s">
        <v>728</v>
      </c>
      <c r="C349" s="76" t="s">
        <v>219</v>
      </c>
      <c r="D349" s="46" t="s">
        <v>729</v>
      </c>
      <c r="E349" s="33">
        <v>3510</v>
      </c>
      <c r="F349" s="33"/>
      <c r="G349" s="33">
        <v>350</v>
      </c>
      <c r="H349" s="33">
        <f t="shared" si="62"/>
        <v>3160</v>
      </c>
      <c r="I349" s="33">
        <v>1260</v>
      </c>
      <c r="J349" s="33">
        <v>350</v>
      </c>
      <c r="K349" s="33">
        <v>3300</v>
      </c>
      <c r="L349" s="33">
        <v>1260</v>
      </c>
      <c r="M349" s="33">
        <v>300</v>
      </c>
      <c r="N349" s="33">
        <v>350</v>
      </c>
      <c r="O349" s="82"/>
      <c r="Q349" s="211"/>
      <c r="R349" s="211"/>
      <c r="S349" s="211"/>
      <c r="T349" s="211"/>
      <c r="U349" s="211"/>
      <c r="V349" s="211"/>
      <c r="W349" s="211"/>
      <c r="X349" s="211"/>
      <c r="Y349" s="211"/>
      <c r="Z349" s="211"/>
    </row>
    <row r="350" spans="1:26" s="83" customFormat="1" ht="39" hidden="1" customHeight="1">
      <c r="A350" s="34"/>
      <c r="B350" s="75" t="s">
        <v>730</v>
      </c>
      <c r="C350" s="76" t="s">
        <v>724</v>
      </c>
      <c r="D350" s="46" t="s">
        <v>731</v>
      </c>
      <c r="E350" s="33">
        <v>1500</v>
      </c>
      <c r="F350" s="33">
        <v>400</v>
      </c>
      <c r="G350" s="33">
        <v>40</v>
      </c>
      <c r="H350" s="33">
        <f t="shared" si="62"/>
        <v>1060</v>
      </c>
      <c r="I350" s="33">
        <v>440</v>
      </c>
      <c r="J350" s="33">
        <v>40</v>
      </c>
      <c r="K350" s="33">
        <v>1100</v>
      </c>
      <c r="L350" s="33">
        <v>440</v>
      </c>
      <c r="M350" s="33">
        <v>40</v>
      </c>
      <c r="N350" s="33">
        <v>40</v>
      </c>
      <c r="O350" s="82"/>
      <c r="Q350" s="82"/>
      <c r="R350" s="82"/>
      <c r="S350" s="82"/>
      <c r="T350" s="82"/>
      <c r="U350" s="82"/>
      <c r="V350" s="82"/>
      <c r="W350" s="82"/>
      <c r="X350" s="82"/>
      <c r="Y350" s="82"/>
      <c r="Z350" s="82"/>
    </row>
    <row r="351" spans="1:26" s="83" customFormat="1" ht="36.75" hidden="1" customHeight="1">
      <c r="A351" s="34"/>
      <c r="B351" s="75" t="s">
        <v>732</v>
      </c>
      <c r="C351" s="76" t="s">
        <v>156</v>
      </c>
      <c r="D351" s="46" t="s">
        <v>733</v>
      </c>
      <c r="E351" s="33">
        <v>1124</v>
      </c>
      <c r="F351" s="33"/>
      <c r="G351" s="33">
        <v>60</v>
      </c>
      <c r="H351" s="33">
        <f t="shared" si="62"/>
        <v>1064</v>
      </c>
      <c r="I351" s="33">
        <v>960</v>
      </c>
      <c r="J351" s="33">
        <v>60</v>
      </c>
      <c r="K351" s="33">
        <v>1021</v>
      </c>
      <c r="L351" s="33">
        <v>960</v>
      </c>
      <c r="M351" s="33">
        <v>60</v>
      </c>
      <c r="N351" s="33">
        <v>60</v>
      </c>
      <c r="O351" s="82"/>
      <c r="Q351" s="82"/>
      <c r="R351" s="82"/>
      <c r="S351" s="82"/>
      <c r="T351" s="82"/>
      <c r="U351" s="82"/>
      <c r="V351" s="82"/>
      <c r="W351" s="82"/>
      <c r="X351" s="82"/>
      <c r="Y351" s="82"/>
      <c r="Z351" s="82"/>
    </row>
    <row r="352" spans="1:26" s="83" customFormat="1" ht="36.75" hidden="1" customHeight="1">
      <c r="A352" s="34"/>
      <c r="B352" s="75" t="s">
        <v>734</v>
      </c>
      <c r="C352" s="76" t="s">
        <v>735</v>
      </c>
      <c r="D352" s="46" t="s">
        <v>736</v>
      </c>
      <c r="E352" s="33">
        <v>1098</v>
      </c>
      <c r="F352" s="33"/>
      <c r="G352" s="33">
        <v>109</v>
      </c>
      <c r="H352" s="33">
        <f t="shared" si="62"/>
        <v>989</v>
      </c>
      <c r="I352" s="33">
        <v>933</v>
      </c>
      <c r="J352" s="33">
        <v>109</v>
      </c>
      <c r="K352" s="33"/>
      <c r="L352" s="33">
        <v>933</v>
      </c>
      <c r="M352" s="33">
        <v>109</v>
      </c>
      <c r="N352" s="33">
        <v>109</v>
      </c>
      <c r="O352" s="82"/>
      <c r="Q352" s="82"/>
      <c r="R352" s="82"/>
      <c r="S352" s="82"/>
      <c r="T352" s="82"/>
      <c r="U352" s="82"/>
      <c r="V352" s="82"/>
      <c r="W352" s="82"/>
      <c r="X352" s="82"/>
      <c r="Y352" s="82"/>
      <c r="Z352" s="82"/>
    </row>
    <row r="353" spans="1:26" s="83" customFormat="1" ht="49.5" hidden="1">
      <c r="A353" s="34"/>
      <c r="B353" s="75" t="s">
        <v>737</v>
      </c>
      <c r="C353" s="76" t="s">
        <v>735</v>
      </c>
      <c r="D353" s="46" t="s">
        <v>738</v>
      </c>
      <c r="E353" s="33">
        <v>416</v>
      </c>
      <c r="F353" s="33"/>
      <c r="G353" s="33">
        <v>80</v>
      </c>
      <c r="H353" s="33">
        <f t="shared" si="62"/>
        <v>336</v>
      </c>
      <c r="I353" s="33">
        <v>368</v>
      </c>
      <c r="J353" s="33">
        <v>80</v>
      </c>
      <c r="K353" s="33">
        <v>393</v>
      </c>
      <c r="L353" s="33">
        <v>368</v>
      </c>
      <c r="M353" s="33">
        <v>80</v>
      </c>
      <c r="N353" s="33">
        <v>80</v>
      </c>
      <c r="O353" s="33"/>
      <c r="Q353" s="82"/>
      <c r="R353" s="82"/>
      <c r="S353" s="82"/>
      <c r="T353" s="82"/>
      <c r="U353" s="82"/>
      <c r="V353" s="82"/>
      <c r="W353" s="82"/>
      <c r="X353" s="82"/>
      <c r="Y353" s="82"/>
      <c r="Z353" s="82"/>
    </row>
    <row r="354" spans="1:26" s="83" customFormat="1" ht="33" hidden="1">
      <c r="A354" s="34"/>
      <c r="B354" s="75" t="s">
        <v>739</v>
      </c>
      <c r="C354" s="76" t="s">
        <v>735</v>
      </c>
      <c r="D354" s="46" t="s">
        <v>740</v>
      </c>
      <c r="E354" s="33">
        <v>890</v>
      </c>
      <c r="F354" s="33"/>
      <c r="G354" s="33">
        <v>100</v>
      </c>
      <c r="H354" s="33">
        <f t="shared" si="62"/>
        <v>790</v>
      </c>
      <c r="I354" s="33">
        <v>728</v>
      </c>
      <c r="J354" s="33">
        <v>100</v>
      </c>
      <c r="K354" s="33">
        <v>800</v>
      </c>
      <c r="L354" s="33">
        <v>728</v>
      </c>
      <c r="M354" s="33">
        <v>100</v>
      </c>
      <c r="N354" s="33">
        <v>100</v>
      </c>
      <c r="O354" s="33"/>
      <c r="Q354" s="82"/>
      <c r="R354" s="82"/>
      <c r="S354" s="82"/>
      <c r="T354" s="82"/>
      <c r="U354" s="82"/>
      <c r="V354" s="82"/>
      <c r="W354" s="82"/>
      <c r="X354" s="82"/>
      <c r="Y354" s="82"/>
      <c r="Z354" s="82"/>
    </row>
    <row r="355" spans="1:26" s="210" customFormat="1" ht="16.5" hidden="1">
      <c r="A355" s="254" t="s">
        <v>756</v>
      </c>
      <c r="B355" s="255" t="s">
        <v>759</v>
      </c>
      <c r="C355" s="248"/>
      <c r="D355" s="248"/>
      <c r="E355" s="72">
        <f t="shared" ref="E355:L355" si="63">E358</f>
        <v>0</v>
      </c>
      <c r="F355" s="72">
        <f t="shared" si="63"/>
        <v>0</v>
      </c>
      <c r="G355" s="72">
        <f t="shared" si="63"/>
        <v>0</v>
      </c>
      <c r="H355" s="72">
        <f t="shared" si="63"/>
        <v>0</v>
      </c>
      <c r="I355" s="72">
        <f t="shared" si="63"/>
        <v>0</v>
      </c>
      <c r="J355" s="72">
        <f t="shared" si="63"/>
        <v>1946</v>
      </c>
      <c r="K355" s="72">
        <f t="shared" si="63"/>
        <v>0</v>
      </c>
      <c r="L355" s="72">
        <f t="shared" si="63"/>
        <v>0</v>
      </c>
      <c r="M355" s="72">
        <f>M358</f>
        <v>0</v>
      </c>
      <c r="N355" s="72">
        <f>N358</f>
        <v>1946</v>
      </c>
      <c r="O355" s="256"/>
      <c r="Q355" s="211"/>
      <c r="R355" s="211"/>
      <c r="S355" s="211"/>
      <c r="T355" s="211"/>
      <c r="U355" s="211"/>
      <c r="V355" s="211"/>
      <c r="W355" s="211"/>
      <c r="X355" s="211"/>
      <c r="Y355" s="211"/>
      <c r="Z355" s="211"/>
    </row>
    <row r="356" spans="1:26" s="210" customFormat="1" ht="49.5" hidden="1">
      <c r="A356" s="246" t="s">
        <v>21</v>
      </c>
      <c r="B356" s="73" t="s">
        <v>379</v>
      </c>
      <c r="C356" s="247"/>
      <c r="D356" s="257"/>
      <c r="E356" s="37"/>
      <c r="F356" s="37"/>
      <c r="G356" s="37"/>
      <c r="H356" s="37"/>
      <c r="I356" s="37"/>
      <c r="J356" s="37"/>
      <c r="K356" s="37"/>
      <c r="L356" s="37"/>
      <c r="M356" s="37"/>
      <c r="N356" s="37"/>
      <c r="O356" s="211"/>
      <c r="Q356" s="211"/>
      <c r="R356" s="211"/>
      <c r="S356" s="211"/>
      <c r="T356" s="211"/>
      <c r="U356" s="211"/>
      <c r="V356" s="211"/>
      <c r="W356" s="211"/>
      <c r="X356" s="211"/>
      <c r="Y356" s="211"/>
      <c r="Z356" s="211"/>
    </row>
    <row r="357" spans="1:26" s="210" customFormat="1" ht="33" hidden="1">
      <c r="A357" s="246" t="s">
        <v>28</v>
      </c>
      <c r="B357" s="22" t="s">
        <v>141</v>
      </c>
      <c r="C357" s="23"/>
      <c r="D357" s="24"/>
      <c r="E357" s="25"/>
      <c r="F357" s="25"/>
      <c r="G357" s="25"/>
      <c r="H357" s="25"/>
      <c r="I357" s="25"/>
      <c r="J357" s="25"/>
      <c r="K357" s="25"/>
      <c r="L357" s="25"/>
      <c r="M357" s="25"/>
      <c r="N357" s="25"/>
      <c r="O357" s="211"/>
      <c r="Q357" s="211"/>
      <c r="R357" s="211"/>
      <c r="S357" s="211"/>
      <c r="T357" s="211"/>
      <c r="U357" s="211"/>
      <c r="V357" s="211"/>
      <c r="W357" s="211"/>
      <c r="X357" s="211"/>
      <c r="Y357" s="211"/>
      <c r="Z357" s="211"/>
    </row>
    <row r="358" spans="1:26" s="210" customFormat="1" ht="36.75" hidden="1" customHeight="1">
      <c r="A358" s="246" t="s">
        <v>28</v>
      </c>
      <c r="B358" s="22" t="s">
        <v>335</v>
      </c>
      <c r="C358" s="23"/>
      <c r="D358" s="24"/>
      <c r="E358" s="25">
        <f t="shared" ref="E358:N358" si="64">SUM(E359:E361)</f>
        <v>0</v>
      </c>
      <c r="F358" s="25">
        <f t="shared" si="64"/>
        <v>0</v>
      </c>
      <c r="G358" s="25">
        <f t="shared" si="64"/>
        <v>0</v>
      </c>
      <c r="H358" s="25">
        <f t="shared" si="64"/>
        <v>0</v>
      </c>
      <c r="I358" s="25">
        <f t="shared" si="64"/>
        <v>0</v>
      </c>
      <c r="J358" s="25">
        <f t="shared" si="64"/>
        <v>1946</v>
      </c>
      <c r="K358" s="25">
        <f t="shared" si="64"/>
        <v>0</v>
      </c>
      <c r="L358" s="25">
        <f t="shared" si="64"/>
        <v>0</v>
      </c>
      <c r="M358" s="25">
        <f t="shared" si="64"/>
        <v>0</v>
      </c>
      <c r="N358" s="25">
        <f t="shared" si="64"/>
        <v>1946</v>
      </c>
      <c r="O358" s="211"/>
      <c r="Q358" s="211"/>
      <c r="R358" s="211"/>
      <c r="S358" s="211"/>
      <c r="T358" s="211"/>
      <c r="U358" s="211"/>
      <c r="V358" s="211"/>
      <c r="W358" s="211"/>
      <c r="X358" s="211"/>
      <c r="Y358" s="211"/>
      <c r="Z358" s="211"/>
    </row>
    <row r="359" spans="1:26" s="83" customFormat="1" ht="33" hidden="1">
      <c r="A359" s="114"/>
      <c r="B359" s="58" t="s">
        <v>760</v>
      </c>
      <c r="C359" s="64" t="s">
        <v>762</v>
      </c>
      <c r="D359" s="109"/>
      <c r="E359" s="91"/>
      <c r="F359" s="47"/>
      <c r="G359" s="164"/>
      <c r="H359" s="144"/>
      <c r="I359" s="113"/>
      <c r="J359" s="113">
        <v>1300</v>
      </c>
      <c r="K359" s="113"/>
      <c r="L359" s="113"/>
      <c r="M359" s="113"/>
      <c r="N359" s="113">
        <f>800+500</f>
        <v>1300</v>
      </c>
      <c r="O359" s="163"/>
      <c r="Q359" s="82"/>
      <c r="R359" s="82"/>
      <c r="S359" s="82"/>
      <c r="T359" s="82"/>
      <c r="U359" s="82"/>
      <c r="V359" s="82"/>
      <c r="W359" s="82"/>
      <c r="X359" s="82">
        <f>600+500</f>
        <v>1100</v>
      </c>
      <c r="Y359" s="82"/>
      <c r="Z359" s="82"/>
    </row>
    <row r="360" spans="1:26" s="83" customFormat="1" ht="63" hidden="1">
      <c r="A360" s="114"/>
      <c r="B360" s="252" t="s">
        <v>761</v>
      </c>
      <c r="C360" s="64" t="s">
        <v>762</v>
      </c>
      <c r="D360" s="109"/>
      <c r="E360" s="91"/>
      <c r="F360" s="47"/>
      <c r="G360" s="164"/>
      <c r="H360" s="144"/>
      <c r="I360" s="113"/>
      <c r="J360" s="113">
        <v>196</v>
      </c>
      <c r="K360" s="113"/>
      <c r="L360" s="113"/>
      <c r="M360" s="113"/>
      <c r="N360" s="113">
        <v>196</v>
      </c>
      <c r="O360" s="163"/>
      <c r="Q360" s="82"/>
      <c r="R360" s="82"/>
      <c r="S360" s="82"/>
      <c r="T360" s="82"/>
      <c r="U360" s="82"/>
      <c r="V360" s="82"/>
      <c r="W360" s="82"/>
      <c r="X360" s="82">
        <v>196</v>
      </c>
      <c r="Y360" s="82"/>
      <c r="Z360" s="82"/>
    </row>
    <row r="361" spans="1:26" s="83" customFormat="1" ht="60">
      <c r="A361" s="114"/>
      <c r="B361" s="287" t="s">
        <v>776</v>
      </c>
      <c r="C361" s="64" t="s">
        <v>762</v>
      </c>
      <c r="D361" s="109"/>
      <c r="E361" s="91"/>
      <c r="F361" s="47"/>
      <c r="G361" s="164"/>
      <c r="H361" s="144"/>
      <c r="I361" s="113"/>
      <c r="J361" s="113">
        <v>450</v>
      </c>
      <c r="K361" s="113"/>
      <c r="L361" s="113"/>
      <c r="M361" s="113"/>
      <c r="N361" s="113">
        <v>450</v>
      </c>
      <c r="O361" s="163"/>
      <c r="P361" s="83">
        <v>1</v>
      </c>
      <c r="Q361" s="82"/>
      <c r="R361" s="82"/>
      <c r="S361" s="82"/>
      <c r="T361" s="82"/>
      <c r="U361" s="82"/>
      <c r="V361" s="82"/>
      <c r="W361" s="82"/>
      <c r="X361" s="82">
        <v>450</v>
      </c>
      <c r="Y361" s="82"/>
      <c r="Z361" s="82"/>
    </row>
    <row r="362" spans="1:26" ht="18.75">
      <c r="J362" s="487"/>
      <c r="K362" s="487"/>
      <c r="L362" s="487"/>
      <c r="M362" s="487"/>
      <c r="N362" s="487"/>
      <c r="O362" s="487"/>
    </row>
    <row r="363" spans="1:26" s="243" customFormat="1" ht="20.25" customHeight="1">
      <c r="A363" s="488"/>
      <c r="B363" s="488"/>
      <c r="C363" s="488"/>
      <c r="D363" s="488"/>
      <c r="E363" s="489"/>
      <c r="F363" s="489"/>
      <c r="G363" s="489"/>
      <c r="H363" s="489"/>
      <c r="I363" s="489"/>
      <c r="J363" s="489"/>
      <c r="K363" s="489"/>
      <c r="L363" s="489"/>
      <c r="M363" s="489"/>
      <c r="N363" s="489"/>
      <c r="O363" s="489"/>
      <c r="Q363" s="244"/>
      <c r="R363" s="244"/>
      <c r="S363" s="244"/>
      <c r="T363" s="244"/>
      <c r="U363" s="244"/>
      <c r="V363" s="244"/>
      <c r="W363" s="244"/>
      <c r="X363" s="244"/>
      <c r="Y363" s="244"/>
      <c r="Z363" s="244"/>
    </row>
    <row r="369" spans="1:26" s="84" customFormat="1" ht="29.25" customHeight="1">
      <c r="A369" s="490"/>
      <c r="B369" s="490"/>
      <c r="C369" s="490"/>
      <c r="D369" s="490"/>
      <c r="E369" s="491"/>
      <c r="F369" s="491"/>
      <c r="G369" s="491"/>
      <c r="H369" s="491"/>
      <c r="I369" s="491"/>
      <c r="J369" s="491"/>
      <c r="K369" s="491"/>
      <c r="L369" s="491"/>
      <c r="M369" s="491"/>
      <c r="N369" s="491"/>
      <c r="O369" s="491"/>
      <c r="Q369" s="209"/>
      <c r="R369" s="209"/>
      <c r="S369" s="209"/>
      <c r="T369" s="209"/>
      <c r="U369" s="209"/>
      <c r="V369" s="209"/>
      <c r="W369" s="209"/>
      <c r="X369" s="209"/>
      <c r="Y369" s="209"/>
      <c r="Z369" s="209"/>
    </row>
  </sheetData>
  <autoFilter ref="A10:IW361">
    <filterColumn colId="15">
      <customFilters>
        <customFilter operator="notEqual" val=" "/>
      </customFilters>
    </filterColumn>
  </autoFilter>
  <mergeCells count="27">
    <mergeCell ref="A7:A9"/>
    <mergeCell ref="B7:B9"/>
    <mergeCell ref="C7:C9"/>
    <mergeCell ref="D7:H7"/>
    <mergeCell ref="I7:J7"/>
    <mergeCell ref="A1:B1"/>
    <mergeCell ref="A2:B2"/>
    <mergeCell ref="A4:O4"/>
    <mergeCell ref="A5:O5"/>
    <mergeCell ref="M6:O6"/>
    <mergeCell ref="K7:K9"/>
    <mergeCell ref="L7:N7"/>
    <mergeCell ref="O7:O9"/>
    <mergeCell ref="D8:D9"/>
    <mergeCell ref="E8:E9"/>
    <mergeCell ref="F8:H8"/>
    <mergeCell ref="I8:I9"/>
    <mergeCell ref="J8:J9"/>
    <mergeCell ref="L8:L9"/>
    <mergeCell ref="M8:N8"/>
    <mergeCell ref="J362:O362"/>
    <mergeCell ref="A363:D363"/>
    <mergeCell ref="E363:I363"/>
    <mergeCell ref="J363:O363"/>
    <mergeCell ref="A369:D369"/>
    <mergeCell ref="E369:I369"/>
    <mergeCell ref="J369:O369"/>
  </mergeCells>
  <pageMargins left="0.7" right="0.16" top="0.53" bottom="0.45" header="0.3" footer="0.3"/>
  <pageSetup paperSize="9" scale="6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W369"/>
  <sheetViews>
    <sheetView view="pageBreakPreview" zoomScale="70" zoomScaleSheetLayoutView="70" workbookViewId="0">
      <selection activeCell="J11" sqref="J11"/>
    </sheetView>
  </sheetViews>
  <sheetFormatPr defaultColWidth="8.85546875" defaultRowHeight="12.75"/>
  <cols>
    <col min="1" max="1" width="5.5703125" style="241" customWidth="1"/>
    <col min="2" max="2" width="36.140625" style="71" customWidth="1"/>
    <col min="3" max="3" width="12.5703125" style="242" customWidth="1"/>
    <col min="4" max="4" width="17.140625" style="71" customWidth="1"/>
    <col min="5" max="5" width="13" style="71" customWidth="1"/>
    <col min="6" max="6" width="14" style="71" customWidth="1"/>
    <col min="7" max="7" width="13.140625" style="71" customWidth="1"/>
    <col min="8" max="8" width="11.140625" style="71" customWidth="1"/>
    <col min="9" max="9" width="13" style="71" customWidth="1"/>
    <col min="10" max="10" width="12.140625" style="71" customWidth="1"/>
    <col min="11" max="11" width="13.42578125" style="71" customWidth="1"/>
    <col min="12" max="12" width="13" style="71" customWidth="1"/>
    <col min="13" max="13" width="11.5703125" style="71" customWidth="1"/>
    <col min="14" max="14" width="12.42578125" style="71" customWidth="1"/>
    <col min="15" max="15" width="12.140625" style="71" customWidth="1"/>
    <col min="16" max="16" width="9.140625" style="71" customWidth="1"/>
    <col min="17" max="17" width="9.140625" style="201" customWidth="1"/>
    <col min="18" max="19" width="9.42578125" style="201" customWidth="1"/>
    <col min="20" max="20" width="9.140625" style="201" customWidth="1"/>
    <col min="21" max="21" width="9.42578125" style="201" customWidth="1"/>
    <col min="22" max="23" width="9.140625" style="201" customWidth="1"/>
    <col min="24" max="24" width="12.5703125" style="201" customWidth="1"/>
    <col min="25" max="25" width="9.140625" style="201" customWidth="1"/>
    <col min="26" max="26" width="9.140625" style="201"/>
    <col min="27" max="226" width="9.140625" style="71"/>
    <col min="227" max="227" width="5.5703125" style="71" customWidth="1"/>
    <col min="228" max="228" width="27.5703125" style="71" customWidth="1"/>
    <col min="229" max="229" width="9.140625" style="71"/>
    <col min="230" max="230" width="13.5703125" style="71" customWidth="1"/>
    <col min="231" max="231" width="15.42578125" style="71" customWidth="1"/>
    <col min="232" max="232" width="8.42578125" style="71" customWidth="1"/>
    <col min="233" max="233" width="9.42578125" style="71" customWidth="1"/>
    <col min="234" max="234" width="11.140625" style="71" customWidth="1"/>
    <col min="235" max="236" width="12.140625" style="71" customWidth="1"/>
    <col min="237" max="237" width="11.85546875" style="71" customWidth="1"/>
    <col min="238" max="238" width="12" style="71" customWidth="1"/>
    <col min="239" max="239" width="13.42578125" style="71" customWidth="1"/>
    <col min="240" max="240" width="10.5703125" style="71" customWidth="1"/>
    <col min="241" max="241" width="11" style="71" customWidth="1"/>
    <col min="242" max="482" width="9.140625" style="71"/>
    <col min="483" max="483" width="5.5703125" style="71" customWidth="1"/>
    <col min="484" max="484" width="27.5703125" style="71" customWidth="1"/>
    <col min="485" max="485" width="9.140625" style="71"/>
    <col min="486" max="486" width="13.5703125" style="71" customWidth="1"/>
    <col min="487" max="487" width="15.42578125" style="71" customWidth="1"/>
    <col min="488" max="488" width="8.42578125" style="71" customWidth="1"/>
    <col min="489" max="489" width="9.42578125" style="71" customWidth="1"/>
    <col min="490" max="490" width="11.140625" style="71" customWidth="1"/>
    <col min="491" max="492" width="12.140625" style="71" customWidth="1"/>
    <col min="493" max="493" width="11.85546875" style="71" customWidth="1"/>
    <col min="494" max="494" width="12" style="71" customWidth="1"/>
    <col min="495" max="495" width="13.42578125" style="71" customWidth="1"/>
    <col min="496" max="496" width="10.5703125" style="71" customWidth="1"/>
    <col min="497" max="497" width="11" style="71" customWidth="1"/>
    <col min="498" max="738" width="9.140625" style="71"/>
    <col min="739" max="739" width="5.5703125" style="71" customWidth="1"/>
    <col min="740" max="740" width="27.5703125" style="71" customWidth="1"/>
    <col min="741" max="741" width="9.140625" style="71"/>
    <col min="742" max="742" width="13.5703125" style="71" customWidth="1"/>
    <col min="743" max="743" width="15.42578125" style="71" customWidth="1"/>
    <col min="744" max="744" width="8.42578125" style="71" customWidth="1"/>
    <col min="745" max="745" width="9.42578125" style="71" customWidth="1"/>
    <col min="746" max="746" width="11.140625" style="71" customWidth="1"/>
    <col min="747" max="748" width="12.140625" style="71" customWidth="1"/>
    <col min="749" max="749" width="11.85546875" style="71" customWidth="1"/>
    <col min="750" max="750" width="12" style="71" customWidth="1"/>
    <col min="751" max="751" width="13.42578125" style="71" customWidth="1"/>
    <col min="752" max="752" width="10.5703125" style="71" customWidth="1"/>
    <col min="753" max="753" width="11" style="71" customWidth="1"/>
    <col min="754" max="994" width="9.140625" style="71"/>
    <col min="995" max="995" width="5.5703125" style="71" customWidth="1"/>
    <col min="996" max="996" width="27.5703125" style="71" customWidth="1"/>
    <col min="997" max="997" width="9.140625" style="71"/>
    <col min="998" max="998" width="13.5703125" style="71" customWidth="1"/>
    <col min="999" max="999" width="15.42578125" style="71" customWidth="1"/>
    <col min="1000" max="1000" width="8.42578125" style="71" customWidth="1"/>
    <col min="1001" max="1001" width="9.42578125" style="71" customWidth="1"/>
    <col min="1002" max="1002" width="11.140625" style="71" customWidth="1"/>
    <col min="1003" max="1004" width="12.140625" style="71" customWidth="1"/>
    <col min="1005" max="1005" width="11.85546875" style="71" customWidth="1"/>
    <col min="1006" max="1006" width="12" style="71" customWidth="1"/>
    <col min="1007" max="1007" width="13.42578125" style="71" customWidth="1"/>
    <col min="1008" max="1008" width="10.5703125" style="71" customWidth="1"/>
    <col min="1009" max="1009" width="11" style="71" customWidth="1"/>
    <col min="1010" max="1250" width="9.140625" style="71"/>
    <col min="1251" max="1251" width="5.5703125" style="71" customWidth="1"/>
    <col min="1252" max="1252" width="27.5703125" style="71" customWidth="1"/>
    <col min="1253" max="1253" width="9.140625" style="71"/>
    <col min="1254" max="1254" width="13.5703125" style="71" customWidth="1"/>
    <col min="1255" max="1255" width="15.42578125" style="71" customWidth="1"/>
    <col min="1256" max="1256" width="8.42578125" style="71" customWidth="1"/>
    <col min="1257" max="1257" width="9.42578125" style="71" customWidth="1"/>
    <col min="1258" max="1258" width="11.140625" style="71" customWidth="1"/>
    <col min="1259" max="1260" width="12.140625" style="71" customWidth="1"/>
    <col min="1261" max="1261" width="11.85546875" style="71" customWidth="1"/>
    <col min="1262" max="1262" width="12" style="71" customWidth="1"/>
    <col min="1263" max="1263" width="13.42578125" style="71" customWidth="1"/>
    <col min="1264" max="1264" width="10.5703125" style="71" customWidth="1"/>
    <col min="1265" max="1265" width="11" style="71" customWidth="1"/>
    <col min="1266" max="1506" width="9.140625" style="71"/>
    <col min="1507" max="1507" width="5.5703125" style="71" customWidth="1"/>
    <col min="1508" max="1508" width="27.5703125" style="71" customWidth="1"/>
    <col min="1509" max="1509" width="9.140625" style="71"/>
    <col min="1510" max="1510" width="13.5703125" style="71" customWidth="1"/>
    <col min="1511" max="1511" width="15.42578125" style="71" customWidth="1"/>
    <col min="1512" max="1512" width="8.42578125" style="71" customWidth="1"/>
    <col min="1513" max="1513" width="9.42578125" style="71" customWidth="1"/>
    <col min="1514" max="1514" width="11.140625" style="71" customWidth="1"/>
    <col min="1515" max="1516" width="12.140625" style="71" customWidth="1"/>
    <col min="1517" max="1517" width="11.85546875" style="71" customWidth="1"/>
    <col min="1518" max="1518" width="12" style="71" customWidth="1"/>
    <col min="1519" max="1519" width="13.42578125" style="71" customWidth="1"/>
    <col min="1520" max="1520" width="10.5703125" style="71" customWidth="1"/>
    <col min="1521" max="1521" width="11" style="71" customWidth="1"/>
    <col min="1522" max="1762" width="9.140625" style="71"/>
    <col min="1763" max="1763" width="5.5703125" style="71" customWidth="1"/>
    <col min="1764" max="1764" width="27.5703125" style="71" customWidth="1"/>
    <col min="1765" max="1765" width="9.140625" style="71"/>
    <col min="1766" max="1766" width="13.5703125" style="71" customWidth="1"/>
    <col min="1767" max="1767" width="15.42578125" style="71" customWidth="1"/>
    <col min="1768" max="1768" width="8.42578125" style="71" customWidth="1"/>
    <col min="1769" max="1769" width="9.42578125" style="71" customWidth="1"/>
    <col min="1770" max="1770" width="11.140625" style="71" customWidth="1"/>
    <col min="1771" max="1772" width="12.140625" style="71" customWidth="1"/>
    <col min="1773" max="1773" width="11.85546875" style="71" customWidth="1"/>
    <col min="1774" max="1774" width="12" style="71" customWidth="1"/>
    <col min="1775" max="1775" width="13.42578125" style="71" customWidth="1"/>
    <col min="1776" max="1776" width="10.5703125" style="71" customWidth="1"/>
    <col min="1777" max="1777" width="11" style="71" customWidth="1"/>
    <col min="1778" max="2018" width="9.140625" style="71"/>
    <col min="2019" max="2019" width="5.5703125" style="71" customWidth="1"/>
    <col min="2020" max="2020" width="27.5703125" style="71" customWidth="1"/>
    <col min="2021" max="2021" width="9.140625" style="71"/>
    <col min="2022" max="2022" width="13.5703125" style="71" customWidth="1"/>
    <col min="2023" max="2023" width="15.42578125" style="71" customWidth="1"/>
    <col min="2024" max="2024" width="8.42578125" style="71" customWidth="1"/>
    <col min="2025" max="2025" width="9.42578125" style="71" customWidth="1"/>
    <col min="2026" max="2026" width="11.140625" style="71" customWidth="1"/>
    <col min="2027" max="2028" width="12.140625" style="71" customWidth="1"/>
    <col min="2029" max="2029" width="11.85546875" style="71" customWidth="1"/>
    <col min="2030" max="2030" width="12" style="71" customWidth="1"/>
    <col min="2031" max="2031" width="13.42578125" style="71" customWidth="1"/>
    <col min="2032" max="2032" width="10.5703125" style="71" customWidth="1"/>
    <col min="2033" max="2033" width="11" style="71" customWidth="1"/>
    <col min="2034" max="2274" width="9.140625" style="71"/>
    <col min="2275" max="2275" width="5.5703125" style="71" customWidth="1"/>
    <col min="2276" max="2276" width="27.5703125" style="71" customWidth="1"/>
    <col min="2277" max="2277" width="9.140625" style="71"/>
    <col min="2278" max="2278" width="13.5703125" style="71" customWidth="1"/>
    <col min="2279" max="2279" width="15.42578125" style="71" customWidth="1"/>
    <col min="2280" max="2280" width="8.42578125" style="71" customWidth="1"/>
    <col min="2281" max="2281" width="9.42578125" style="71" customWidth="1"/>
    <col min="2282" max="2282" width="11.140625" style="71" customWidth="1"/>
    <col min="2283" max="2284" width="12.140625" style="71" customWidth="1"/>
    <col min="2285" max="2285" width="11.85546875" style="71" customWidth="1"/>
    <col min="2286" max="2286" width="12" style="71" customWidth="1"/>
    <col min="2287" max="2287" width="13.42578125" style="71" customWidth="1"/>
    <col min="2288" max="2288" width="10.5703125" style="71" customWidth="1"/>
    <col min="2289" max="2289" width="11" style="71" customWidth="1"/>
    <col min="2290" max="2530" width="9.140625" style="71"/>
    <col min="2531" max="2531" width="5.5703125" style="71" customWidth="1"/>
    <col min="2532" max="2532" width="27.5703125" style="71" customWidth="1"/>
    <col min="2533" max="2533" width="9.140625" style="71"/>
    <col min="2534" max="2534" width="13.5703125" style="71" customWidth="1"/>
    <col min="2535" max="2535" width="15.42578125" style="71" customWidth="1"/>
    <col min="2536" max="2536" width="8.42578125" style="71" customWidth="1"/>
    <col min="2537" max="2537" width="9.42578125" style="71" customWidth="1"/>
    <col min="2538" max="2538" width="11.140625" style="71" customWidth="1"/>
    <col min="2539" max="2540" width="12.140625" style="71" customWidth="1"/>
    <col min="2541" max="2541" width="11.85546875" style="71" customWidth="1"/>
    <col min="2542" max="2542" width="12" style="71" customWidth="1"/>
    <col min="2543" max="2543" width="13.42578125" style="71" customWidth="1"/>
    <col min="2544" max="2544" width="10.5703125" style="71" customWidth="1"/>
    <col min="2545" max="2545" width="11" style="71" customWidth="1"/>
    <col min="2546" max="2786" width="9.140625" style="71"/>
    <col min="2787" max="2787" width="5.5703125" style="71" customWidth="1"/>
    <col min="2788" max="2788" width="27.5703125" style="71" customWidth="1"/>
    <col min="2789" max="2789" width="9.140625" style="71"/>
    <col min="2790" max="2790" width="13.5703125" style="71" customWidth="1"/>
    <col min="2791" max="2791" width="15.42578125" style="71" customWidth="1"/>
    <col min="2792" max="2792" width="8.42578125" style="71" customWidth="1"/>
    <col min="2793" max="2793" width="9.42578125" style="71" customWidth="1"/>
    <col min="2794" max="2794" width="11.140625" style="71" customWidth="1"/>
    <col min="2795" max="2796" width="12.140625" style="71" customWidth="1"/>
    <col min="2797" max="2797" width="11.85546875" style="71" customWidth="1"/>
    <col min="2798" max="2798" width="12" style="71" customWidth="1"/>
    <col min="2799" max="2799" width="13.42578125" style="71" customWidth="1"/>
    <col min="2800" max="2800" width="10.5703125" style="71" customWidth="1"/>
    <col min="2801" max="2801" width="11" style="71" customWidth="1"/>
    <col min="2802" max="3042" width="9.140625" style="71"/>
    <col min="3043" max="3043" width="5.5703125" style="71" customWidth="1"/>
    <col min="3044" max="3044" width="27.5703125" style="71" customWidth="1"/>
    <col min="3045" max="3045" width="9.140625" style="71"/>
    <col min="3046" max="3046" width="13.5703125" style="71" customWidth="1"/>
    <col min="3047" max="3047" width="15.42578125" style="71" customWidth="1"/>
    <col min="3048" max="3048" width="8.42578125" style="71" customWidth="1"/>
    <col min="3049" max="3049" width="9.42578125" style="71" customWidth="1"/>
    <col min="3050" max="3050" width="11.140625" style="71" customWidth="1"/>
    <col min="3051" max="3052" width="12.140625" style="71" customWidth="1"/>
    <col min="3053" max="3053" width="11.85546875" style="71" customWidth="1"/>
    <col min="3054" max="3054" width="12" style="71" customWidth="1"/>
    <col min="3055" max="3055" width="13.42578125" style="71" customWidth="1"/>
    <col min="3056" max="3056" width="10.5703125" style="71" customWidth="1"/>
    <col min="3057" max="3057" width="11" style="71" customWidth="1"/>
    <col min="3058" max="3298" width="9.140625" style="71"/>
    <col min="3299" max="3299" width="5.5703125" style="71" customWidth="1"/>
    <col min="3300" max="3300" width="27.5703125" style="71" customWidth="1"/>
    <col min="3301" max="3301" width="9.140625" style="71"/>
    <col min="3302" max="3302" width="13.5703125" style="71" customWidth="1"/>
    <col min="3303" max="3303" width="15.42578125" style="71" customWidth="1"/>
    <col min="3304" max="3304" width="8.42578125" style="71" customWidth="1"/>
    <col min="3305" max="3305" width="9.42578125" style="71" customWidth="1"/>
    <col min="3306" max="3306" width="11.140625" style="71" customWidth="1"/>
    <col min="3307" max="3308" width="12.140625" style="71" customWidth="1"/>
    <col min="3309" max="3309" width="11.85546875" style="71" customWidth="1"/>
    <col min="3310" max="3310" width="12" style="71" customWidth="1"/>
    <col min="3311" max="3311" width="13.42578125" style="71" customWidth="1"/>
    <col min="3312" max="3312" width="10.5703125" style="71" customWidth="1"/>
    <col min="3313" max="3313" width="11" style="71" customWidth="1"/>
    <col min="3314" max="3554" width="9.140625" style="71"/>
    <col min="3555" max="3555" width="5.5703125" style="71" customWidth="1"/>
    <col min="3556" max="3556" width="27.5703125" style="71" customWidth="1"/>
    <col min="3557" max="3557" width="9.140625" style="71"/>
    <col min="3558" max="3558" width="13.5703125" style="71" customWidth="1"/>
    <col min="3559" max="3559" width="15.42578125" style="71" customWidth="1"/>
    <col min="3560" max="3560" width="8.42578125" style="71" customWidth="1"/>
    <col min="3561" max="3561" width="9.42578125" style="71" customWidth="1"/>
    <col min="3562" max="3562" width="11.140625" style="71" customWidth="1"/>
    <col min="3563" max="3564" width="12.140625" style="71" customWidth="1"/>
    <col min="3565" max="3565" width="11.85546875" style="71" customWidth="1"/>
    <col min="3566" max="3566" width="12" style="71" customWidth="1"/>
    <col min="3567" max="3567" width="13.42578125" style="71" customWidth="1"/>
    <col min="3568" max="3568" width="10.5703125" style="71" customWidth="1"/>
    <col min="3569" max="3569" width="11" style="71" customWidth="1"/>
    <col min="3570" max="3810" width="9.140625" style="71"/>
    <col min="3811" max="3811" width="5.5703125" style="71" customWidth="1"/>
    <col min="3812" max="3812" width="27.5703125" style="71" customWidth="1"/>
    <col min="3813" max="3813" width="9.140625" style="71"/>
    <col min="3814" max="3814" width="13.5703125" style="71" customWidth="1"/>
    <col min="3815" max="3815" width="15.42578125" style="71" customWidth="1"/>
    <col min="3816" max="3816" width="8.42578125" style="71" customWidth="1"/>
    <col min="3817" max="3817" width="9.42578125" style="71" customWidth="1"/>
    <col min="3818" max="3818" width="11.140625" style="71" customWidth="1"/>
    <col min="3819" max="3820" width="12.140625" style="71" customWidth="1"/>
    <col min="3821" max="3821" width="11.85546875" style="71" customWidth="1"/>
    <col min="3822" max="3822" width="12" style="71" customWidth="1"/>
    <col min="3823" max="3823" width="13.42578125" style="71" customWidth="1"/>
    <col min="3824" max="3824" width="10.5703125" style="71" customWidth="1"/>
    <col min="3825" max="3825" width="11" style="71" customWidth="1"/>
    <col min="3826" max="4066" width="9.140625" style="71"/>
    <col min="4067" max="4067" width="5.5703125" style="71" customWidth="1"/>
    <col min="4068" max="4068" width="27.5703125" style="71" customWidth="1"/>
    <col min="4069" max="4069" width="9.140625" style="71"/>
    <col min="4070" max="4070" width="13.5703125" style="71" customWidth="1"/>
    <col min="4071" max="4071" width="15.42578125" style="71" customWidth="1"/>
    <col min="4072" max="4072" width="8.42578125" style="71" customWidth="1"/>
    <col min="4073" max="4073" width="9.42578125" style="71" customWidth="1"/>
    <col min="4074" max="4074" width="11.140625" style="71" customWidth="1"/>
    <col min="4075" max="4076" width="12.140625" style="71" customWidth="1"/>
    <col min="4077" max="4077" width="11.85546875" style="71" customWidth="1"/>
    <col min="4078" max="4078" width="12" style="71" customWidth="1"/>
    <col min="4079" max="4079" width="13.42578125" style="71" customWidth="1"/>
    <col min="4080" max="4080" width="10.5703125" style="71" customWidth="1"/>
    <col min="4081" max="4081" width="11" style="71" customWidth="1"/>
    <col min="4082" max="4322" width="9.140625" style="71"/>
    <col min="4323" max="4323" width="5.5703125" style="71" customWidth="1"/>
    <col min="4324" max="4324" width="27.5703125" style="71" customWidth="1"/>
    <col min="4325" max="4325" width="9.140625" style="71"/>
    <col min="4326" max="4326" width="13.5703125" style="71" customWidth="1"/>
    <col min="4327" max="4327" width="15.42578125" style="71" customWidth="1"/>
    <col min="4328" max="4328" width="8.42578125" style="71" customWidth="1"/>
    <col min="4329" max="4329" width="9.42578125" style="71" customWidth="1"/>
    <col min="4330" max="4330" width="11.140625" style="71" customWidth="1"/>
    <col min="4331" max="4332" width="12.140625" style="71" customWidth="1"/>
    <col min="4333" max="4333" width="11.85546875" style="71" customWidth="1"/>
    <col min="4334" max="4334" width="12" style="71" customWidth="1"/>
    <col min="4335" max="4335" width="13.42578125" style="71" customWidth="1"/>
    <col min="4336" max="4336" width="10.5703125" style="71" customWidth="1"/>
    <col min="4337" max="4337" width="11" style="71" customWidth="1"/>
    <col min="4338" max="4578" width="9.140625" style="71"/>
    <col min="4579" max="4579" width="5.5703125" style="71" customWidth="1"/>
    <col min="4580" max="4580" width="27.5703125" style="71" customWidth="1"/>
    <col min="4581" max="4581" width="9.140625" style="71"/>
    <col min="4582" max="4582" width="13.5703125" style="71" customWidth="1"/>
    <col min="4583" max="4583" width="15.42578125" style="71" customWidth="1"/>
    <col min="4584" max="4584" width="8.42578125" style="71" customWidth="1"/>
    <col min="4585" max="4585" width="9.42578125" style="71" customWidth="1"/>
    <col min="4586" max="4586" width="11.140625" style="71" customWidth="1"/>
    <col min="4587" max="4588" width="12.140625" style="71" customWidth="1"/>
    <col min="4589" max="4589" width="11.85546875" style="71" customWidth="1"/>
    <col min="4590" max="4590" width="12" style="71" customWidth="1"/>
    <col min="4591" max="4591" width="13.42578125" style="71" customWidth="1"/>
    <col min="4592" max="4592" width="10.5703125" style="71" customWidth="1"/>
    <col min="4593" max="4593" width="11" style="71" customWidth="1"/>
    <col min="4594" max="4834" width="9.140625" style="71"/>
    <col min="4835" max="4835" width="5.5703125" style="71" customWidth="1"/>
    <col min="4836" max="4836" width="27.5703125" style="71" customWidth="1"/>
    <col min="4837" max="4837" width="9.140625" style="71"/>
    <col min="4838" max="4838" width="13.5703125" style="71" customWidth="1"/>
    <col min="4839" max="4839" width="15.42578125" style="71" customWidth="1"/>
    <col min="4840" max="4840" width="8.42578125" style="71" customWidth="1"/>
    <col min="4841" max="4841" width="9.42578125" style="71" customWidth="1"/>
    <col min="4842" max="4842" width="11.140625" style="71" customWidth="1"/>
    <col min="4843" max="4844" width="12.140625" style="71" customWidth="1"/>
    <col min="4845" max="4845" width="11.85546875" style="71" customWidth="1"/>
    <col min="4846" max="4846" width="12" style="71" customWidth="1"/>
    <col min="4847" max="4847" width="13.42578125" style="71" customWidth="1"/>
    <col min="4848" max="4848" width="10.5703125" style="71" customWidth="1"/>
    <col min="4849" max="4849" width="11" style="71" customWidth="1"/>
    <col min="4850" max="5090" width="9.140625" style="71"/>
    <col min="5091" max="5091" width="5.5703125" style="71" customWidth="1"/>
    <col min="5092" max="5092" width="27.5703125" style="71" customWidth="1"/>
    <col min="5093" max="5093" width="9.140625" style="71"/>
    <col min="5094" max="5094" width="13.5703125" style="71" customWidth="1"/>
    <col min="5095" max="5095" width="15.42578125" style="71" customWidth="1"/>
    <col min="5096" max="5096" width="8.42578125" style="71" customWidth="1"/>
    <col min="5097" max="5097" width="9.42578125" style="71" customWidth="1"/>
    <col min="5098" max="5098" width="11.140625" style="71" customWidth="1"/>
    <col min="5099" max="5100" width="12.140625" style="71" customWidth="1"/>
    <col min="5101" max="5101" width="11.85546875" style="71" customWidth="1"/>
    <col min="5102" max="5102" width="12" style="71" customWidth="1"/>
    <col min="5103" max="5103" width="13.42578125" style="71" customWidth="1"/>
    <col min="5104" max="5104" width="10.5703125" style="71" customWidth="1"/>
    <col min="5105" max="5105" width="11" style="71" customWidth="1"/>
    <col min="5106" max="5346" width="9.140625" style="71"/>
    <col min="5347" max="5347" width="5.5703125" style="71" customWidth="1"/>
    <col min="5348" max="5348" width="27.5703125" style="71" customWidth="1"/>
    <col min="5349" max="5349" width="9.140625" style="71"/>
    <col min="5350" max="5350" width="13.5703125" style="71" customWidth="1"/>
    <col min="5351" max="5351" width="15.42578125" style="71" customWidth="1"/>
    <col min="5352" max="5352" width="8.42578125" style="71" customWidth="1"/>
    <col min="5353" max="5353" width="9.42578125" style="71" customWidth="1"/>
    <col min="5354" max="5354" width="11.140625" style="71" customWidth="1"/>
    <col min="5355" max="5356" width="12.140625" style="71" customWidth="1"/>
    <col min="5357" max="5357" width="11.85546875" style="71" customWidth="1"/>
    <col min="5358" max="5358" width="12" style="71" customWidth="1"/>
    <col min="5359" max="5359" width="13.42578125" style="71" customWidth="1"/>
    <col min="5360" max="5360" width="10.5703125" style="71" customWidth="1"/>
    <col min="5361" max="5361" width="11" style="71" customWidth="1"/>
    <col min="5362" max="5602" width="9.140625" style="71"/>
    <col min="5603" max="5603" width="5.5703125" style="71" customWidth="1"/>
    <col min="5604" max="5604" width="27.5703125" style="71" customWidth="1"/>
    <col min="5605" max="5605" width="9.140625" style="71"/>
    <col min="5606" max="5606" width="13.5703125" style="71" customWidth="1"/>
    <col min="5607" max="5607" width="15.42578125" style="71" customWidth="1"/>
    <col min="5608" max="5608" width="8.42578125" style="71" customWidth="1"/>
    <col min="5609" max="5609" width="9.42578125" style="71" customWidth="1"/>
    <col min="5610" max="5610" width="11.140625" style="71" customWidth="1"/>
    <col min="5611" max="5612" width="12.140625" style="71" customWidth="1"/>
    <col min="5613" max="5613" width="11.85546875" style="71" customWidth="1"/>
    <col min="5614" max="5614" width="12" style="71" customWidth="1"/>
    <col min="5615" max="5615" width="13.42578125" style="71" customWidth="1"/>
    <col min="5616" max="5616" width="10.5703125" style="71" customWidth="1"/>
    <col min="5617" max="5617" width="11" style="71" customWidth="1"/>
    <col min="5618" max="5858" width="9.140625" style="71"/>
    <col min="5859" max="5859" width="5.5703125" style="71" customWidth="1"/>
    <col min="5860" max="5860" width="27.5703125" style="71" customWidth="1"/>
    <col min="5861" max="5861" width="9.140625" style="71"/>
    <col min="5862" max="5862" width="13.5703125" style="71" customWidth="1"/>
    <col min="5863" max="5863" width="15.42578125" style="71" customWidth="1"/>
    <col min="5864" max="5864" width="8.42578125" style="71" customWidth="1"/>
    <col min="5865" max="5865" width="9.42578125" style="71" customWidth="1"/>
    <col min="5866" max="5866" width="11.140625" style="71" customWidth="1"/>
    <col min="5867" max="5868" width="12.140625" style="71" customWidth="1"/>
    <col min="5869" max="5869" width="11.85546875" style="71" customWidth="1"/>
    <col min="5870" max="5870" width="12" style="71" customWidth="1"/>
    <col min="5871" max="5871" width="13.42578125" style="71" customWidth="1"/>
    <col min="5872" max="5872" width="10.5703125" style="71" customWidth="1"/>
    <col min="5873" max="5873" width="11" style="71" customWidth="1"/>
    <col min="5874" max="6114" width="9.140625" style="71"/>
    <col min="6115" max="6115" width="5.5703125" style="71" customWidth="1"/>
    <col min="6116" max="6116" width="27.5703125" style="71" customWidth="1"/>
    <col min="6117" max="6117" width="9.140625" style="71"/>
    <col min="6118" max="6118" width="13.5703125" style="71" customWidth="1"/>
    <col min="6119" max="6119" width="15.42578125" style="71" customWidth="1"/>
    <col min="6120" max="6120" width="8.42578125" style="71" customWidth="1"/>
    <col min="6121" max="6121" width="9.42578125" style="71" customWidth="1"/>
    <col min="6122" max="6122" width="11.140625" style="71" customWidth="1"/>
    <col min="6123" max="6124" width="12.140625" style="71" customWidth="1"/>
    <col min="6125" max="6125" width="11.85546875" style="71" customWidth="1"/>
    <col min="6126" max="6126" width="12" style="71" customWidth="1"/>
    <col min="6127" max="6127" width="13.42578125" style="71" customWidth="1"/>
    <col min="6128" max="6128" width="10.5703125" style="71" customWidth="1"/>
    <col min="6129" max="6129" width="11" style="71" customWidth="1"/>
    <col min="6130" max="6370" width="9.140625" style="71"/>
    <col min="6371" max="6371" width="5.5703125" style="71" customWidth="1"/>
    <col min="6372" max="6372" width="27.5703125" style="71" customWidth="1"/>
    <col min="6373" max="6373" width="9.140625" style="71"/>
    <col min="6374" max="6374" width="13.5703125" style="71" customWidth="1"/>
    <col min="6375" max="6375" width="15.42578125" style="71" customWidth="1"/>
    <col min="6376" max="6376" width="8.42578125" style="71" customWidth="1"/>
    <col min="6377" max="6377" width="9.42578125" style="71" customWidth="1"/>
    <col min="6378" max="6378" width="11.140625" style="71" customWidth="1"/>
    <col min="6379" max="6380" width="12.140625" style="71" customWidth="1"/>
    <col min="6381" max="6381" width="11.85546875" style="71" customWidth="1"/>
    <col min="6382" max="6382" width="12" style="71" customWidth="1"/>
    <col min="6383" max="6383" width="13.42578125" style="71" customWidth="1"/>
    <col min="6384" max="6384" width="10.5703125" style="71" customWidth="1"/>
    <col min="6385" max="6385" width="11" style="71" customWidth="1"/>
    <col min="6386" max="6626" width="9.140625" style="71"/>
    <col min="6627" max="6627" width="5.5703125" style="71" customWidth="1"/>
    <col min="6628" max="6628" width="27.5703125" style="71" customWidth="1"/>
    <col min="6629" max="6629" width="9.140625" style="71"/>
    <col min="6630" max="6630" width="13.5703125" style="71" customWidth="1"/>
    <col min="6631" max="6631" width="15.42578125" style="71" customWidth="1"/>
    <col min="6632" max="6632" width="8.42578125" style="71" customWidth="1"/>
    <col min="6633" max="6633" width="9.42578125" style="71" customWidth="1"/>
    <col min="6634" max="6634" width="11.140625" style="71" customWidth="1"/>
    <col min="6635" max="6636" width="12.140625" style="71" customWidth="1"/>
    <col min="6637" max="6637" width="11.85546875" style="71" customWidth="1"/>
    <col min="6638" max="6638" width="12" style="71" customWidth="1"/>
    <col min="6639" max="6639" width="13.42578125" style="71" customWidth="1"/>
    <col min="6640" max="6640" width="10.5703125" style="71" customWidth="1"/>
    <col min="6641" max="6641" width="11" style="71" customWidth="1"/>
    <col min="6642" max="6882" width="9.140625" style="71"/>
    <col min="6883" max="6883" width="5.5703125" style="71" customWidth="1"/>
    <col min="6884" max="6884" width="27.5703125" style="71" customWidth="1"/>
    <col min="6885" max="6885" width="9.140625" style="71"/>
    <col min="6886" max="6886" width="13.5703125" style="71" customWidth="1"/>
    <col min="6887" max="6887" width="15.42578125" style="71" customWidth="1"/>
    <col min="6888" max="6888" width="8.42578125" style="71" customWidth="1"/>
    <col min="6889" max="6889" width="9.42578125" style="71" customWidth="1"/>
    <col min="6890" max="6890" width="11.140625" style="71" customWidth="1"/>
    <col min="6891" max="6892" width="12.140625" style="71" customWidth="1"/>
    <col min="6893" max="6893" width="11.85546875" style="71" customWidth="1"/>
    <col min="6894" max="6894" width="12" style="71" customWidth="1"/>
    <col min="6895" max="6895" width="13.42578125" style="71" customWidth="1"/>
    <col min="6896" max="6896" width="10.5703125" style="71" customWidth="1"/>
    <col min="6897" max="6897" width="11" style="71" customWidth="1"/>
    <col min="6898" max="7138" width="9.140625" style="71"/>
    <col min="7139" max="7139" width="5.5703125" style="71" customWidth="1"/>
    <col min="7140" max="7140" width="27.5703125" style="71" customWidth="1"/>
    <col min="7141" max="7141" width="9.140625" style="71"/>
    <col min="7142" max="7142" width="13.5703125" style="71" customWidth="1"/>
    <col min="7143" max="7143" width="15.42578125" style="71" customWidth="1"/>
    <col min="7144" max="7144" width="8.42578125" style="71" customWidth="1"/>
    <col min="7145" max="7145" width="9.42578125" style="71" customWidth="1"/>
    <col min="7146" max="7146" width="11.140625" style="71" customWidth="1"/>
    <col min="7147" max="7148" width="12.140625" style="71" customWidth="1"/>
    <col min="7149" max="7149" width="11.85546875" style="71" customWidth="1"/>
    <col min="7150" max="7150" width="12" style="71" customWidth="1"/>
    <col min="7151" max="7151" width="13.42578125" style="71" customWidth="1"/>
    <col min="7152" max="7152" width="10.5703125" style="71" customWidth="1"/>
    <col min="7153" max="7153" width="11" style="71" customWidth="1"/>
    <col min="7154" max="7394" width="9.140625" style="71"/>
    <col min="7395" max="7395" width="5.5703125" style="71" customWidth="1"/>
    <col min="7396" max="7396" width="27.5703125" style="71" customWidth="1"/>
    <col min="7397" max="7397" width="9.140625" style="71"/>
    <col min="7398" max="7398" width="13.5703125" style="71" customWidth="1"/>
    <col min="7399" max="7399" width="15.42578125" style="71" customWidth="1"/>
    <col min="7400" max="7400" width="8.42578125" style="71" customWidth="1"/>
    <col min="7401" max="7401" width="9.42578125" style="71" customWidth="1"/>
    <col min="7402" max="7402" width="11.140625" style="71" customWidth="1"/>
    <col min="7403" max="7404" width="12.140625" style="71" customWidth="1"/>
    <col min="7405" max="7405" width="11.85546875" style="71" customWidth="1"/>
    <col min="7406" max="7406" width="12" style="71" customWidth="1"/>
    <col min="7407" max="7407" width="13.42578125" style="71" customWidth="1"/>
    <col min="7408" max="7408" width="10.5703125" style="71" customWidth="1"/>
    <col min="7409" max="7409" width="11" style="71" customWidth="1"/>
    <col min="7410" max="7650" width="9.140625" style="71"/>
    <col min="7651" max="7651" width="5.5703125" style="71" customWidth="1"/>
    <col min="7652" max="7652" width="27.5703125" style="71" customWidth="1"/>
    <col min="7653" max="7653" width="9.140625" style="71"/>
    <col min="7654" max="7654" width="13.5703125" style="71" customWidth="1"/>
    <col min="7655" max="7655" width="15.42578125" style="71" customWidth="1"/>
    <col min="7656" max="7656" width="8.42578125" style="71" customWidth="1"/>
    <col min="7657" max="7657" width="9.42578125" style="71" customWidth="1"/>
    <col min="7658" max="7658" width="11.140625" style="71" customWidth="1"/>
    <col min="7659" max="7660" width="12.140625" style="71" customWidth="1"/>
    <col min="7661" max="7661" width="11.85546875" style="71" customWidth="1"/>
    <col min="7662" max="7662" width="12" style="71" customWidth="1"/>
    <col min="7663" max="7663" width="13.42578125" style="71" customWidth="1"/>
    <col min="7664" max="7664" width="10.5703125" style="71" customWidth="1"/>
    <col min="7665" max="7665" width="11" style="71" customWidth="1"/>
    <col min="7666" max="7906" width="9.140625" style="71"/>
    <col min="7907" max="7907" width="5.5703125" style="71" customWidth="1"/>
    <col min="7908" max="7908" width="27.5703125" style="71" customWidth="1"/>
    <col min="7909" max="7909" width="9.140625" style="71"/>
    <col min="7910" max="7910" width="13.5703125" style="71" customWidth="1"/>
    <col min="7911" max="7911" width="15.42578125" style="71" customWidth="1"/>
    <col min="7912" max="7912" width="8.42578125" style="71" customWidth="1"/>
    <col min="7913" max="7913" width="9.42578125" style="71" customWidth="1"/>
    <col min="7914" max="7914" width="11.140625" style="71" customWidth="1"/>
    <col min="7915" max="7916" width="12.140625" style="71" customWidth="1"/>
    <col min="7917" max="7917" width="11.85546875" style="71" customWidth="1"/>
    <col min="7918" max="7918" width="12" style="71" customWidth="1"/>
    <col min="7919" max="7919" width="13.42578125" style="71" customWidth="1"/>
    <col min="7920" max="7920" width="10.5703125" style="71" customWidth="1"/>
    <col min="7921" max="7921" width="11" style="71" customWidth="1"/>
    <col min="7922" max="8162" width="9.140625" style="71"/>
    <col min="8163" max="8163" width="5.5703125" style="71" customWidth="1"/>
    <col min="8164" max="8164" width="27.5703125" style="71" customWidth="1"/>
    <col min="8165" max="8165" width="9.140625" style="71"/>
    <col min="8166" max="8166" width="13.5703125" style="71" customWidth="1"/>
    <col min="8167" max="8167" width="15.42578125" style="71" customWidth="1"/>
    <col min="8168" max="8168" width="8.42578125" style="71" customWidth="1"/>
    <col min="8169" max="8169" width="9.42578125" style="71" customWidth="1"/>
    <col min="8170" max="8170" width="11.140625" style="71" customWidth="1"/>
    <col min="8171" max="8172" width="12.140625" style="71" customWidth="1"/>
    <col min="8173" max="8173" width="11.85546875" style="71" customWidth="1"/>
    <col min="8174" max="8174" width="12" style="71" customWidth="1"/>
    <col min="8175" max="8175" width="13.42578125" style="71" customWidth="1"/>
    <col min="8176" max="8176" width="10.5703125" style="71" customWidth="1"/>
    <col min="8177" max="8177" width="11" style="71" customWidth="1"/>
    <col min="8178" max="8418" width="9.140625" style="71"/>
    <col min="8419" max="8419" width="5.5703125" style="71" customWidth="1"/>
    <col min="8420" max="8420" width="27.5703125" style="71" customWidth="1"/>
    <col min="8421" max="8421" width="9.140625" style="71"/>
    <col min="8422" max="8422" width="13.5703125" style="71" customWidth="1"/>
    <col min="8423" max="8423" width="15.42578125" style="71" customWidth="1"/>
    <col min="8424" max="8424" width="8.42578125" style="71" customWidth="1"/>
    <col min="8425" max="8425" width="9.42578125" style="71" customWidth="1"/>
    <col min="8426" max="8426" width="11.140625" style="71" customWidth="1"/>
    <col min="8427" max="8428" width="12.140625" style="71" customWidth="1"/>
    <col min="8429" max="8429" width="11.85546875" style="71" customWidth="1"/>
    <col min="8430" max="8430" width="12" style="71" customWidth="1"/>
    <col min="8431" max="8431" width="13.42578125" style="71" customWidth="1"/>
    <col min="8432" max="8432" width="10.5703125" style="71" customWidth="1"/>
    <col min="8433" max="8433" width="11" style="71" customWidth="1"/>
    <col min="8434" max="8674" width="9.140625" style="71"/>
    <col min="8675" max="8675" width="5.5703125" style="71" customWidth="1"/>
    <col min="8676" max="8676" width="27.5703125" style="71" customWidth="1"/>
    <col min="8677" max="8677" width="9.140625" style="71"/>
    <col min="8678" max="8678" width="13.5703125" style="71" customWidth="1"/>
    <col min="8679" max="8679" width="15.42578125" style="71" customWidth="1"/>
    <col min="8680" max="8680" width="8.42578125" style="71" customWidth="1"/>
    <col min="8681" max="8681" width="9.42578125" style="71" customWidth="1"/>
    <col min="8682" max="8682" width="11.140625" style="71" customWidth="1"/>
    <col min="8683" max="8684" width="12.140625" style="71" customWidth="1"/>
    <col min="8685" max="8685" width="11.85546875" style="71" customWidth="1"/>
    <col min="8686" max="8686" width="12" style="71" customWidth="1"/>
    <col min="8687" max="8687" width="13.42578125" style="71" customWidth="1"/>
    <col min="8688" max="8688" width="10.5703125" style="71" customWidth="1"/>
    <col min="8689" max="8689" width="11" style="71" customWidth="1"/>
    <col min="8690" max="8930" width="9.140625" style="71"/>
    <col min="8931" max="8931" width="5.5703125" style="71" customWidth="1"/>
    <col min="8932" max="8932" width="27.5703125" style="71" customWidth="1"/>
    <col min="8933" max="8933" width="9.140625" style="71"/>
    <col min="8934" max="8934" width="13.5703125" style="71" customWidth="1"/>
    <col min="8935" max="8935" width="15.42578125" style="71" customWidth="1"/>
    <col min="8936" max="8936" width="8.42578125" style="71" customWidth="1"/>
    <col min="8937" max="8937" width="9.42578125" style="71" customWidth="1"/>
    <col min="8938" max="8938" width="11.140625" style="71" customWidth="1"/>
    <col min="8939" max="8940" width="12.140625" style="71" customWidth="1"/>
    <col min="8941" max="8941" width="11.85546875" style="71" customWidth="1"/>
    <col min="8942" max="8942" width="12" style="71" customWidth="1"/>
    <col min="8943" max="8943" width="13.42578125" style="71" customWidth="1"/>
    <col min="8944" max="8944" width="10.5703125" style="71" customWidth="1"/>
    <col min="8945" max="8945" width="11" style="71" customWidth="1"/>
    <col min="8946" max="9186" width="9.140625" style="71"/>
    <col min="9187" max="9187" width="5.5703125" style="71" customWidth="1"/>
    <col min="9188" max="9188" width="27.5703125" style="71" customWidth="1"/>
    <col min="9189" max="9189" width="9.140625" style="71"/>
    <col min="9190" max="9190" width="13.5703125" style="71" customWidth="1"/>
    <col min="9191" max="9191" width="15.42578125" style="71" customWidth="1"/>
    <col min="9192" max="9192" width="8.42578125" style="71" customWidth="1"/>
    <col min="9193" max="9193" width="9.42578125" style="71" customWidth="1"/>
    <col min="9194" max="9194" width="11.140625" style="71" customWidth="1"/>
    <col min="9195" max="9196" width="12.140625" style="71" customWidth="1"/>
    <col min="9197" max="9197" width="11.85546875" style="71" customWidth="1"/>
    <col min="9198" max="9198" width="12" style="71" customWidth="1"/>
    <col min="9199" max="9199" width="13.42578125" style="71" customWidth="1"/>
    <col min="9200" max="9200" width="10.5703125" style="71" customWidth="1"/>
    <col min="9201" max="9201" width="11" style="71" customWidth="1"/>
    <col min="9202" max="9442" width="9.140625" style="71"/>
    <col min="9443" max="9443" width="5.5703125" style="71" customWidth="1"/>
    <col min="9444" max="9444" width="27.5703125" style="71" customWidth="1"/>
    <col min="9445" max="9445" width="9.140625" style="71"/>
    <col min="9446" max="9446" width="13.5703125" style="71" customWidth="1"/>
    <col min="9447" max="9447" width="15.42578125" style="71" customWidth="1"/>
    <col min="9448" max="9448" width="8.42578125" style="71" customWidth="1"/>
    <col min="9449" max="9449" width="9.42578125" style="71" customWidth="1"/>
    <col min="9450" max="9450" width="11.140625" style="71" customWidth="1"/>
    <col min="9451" max="9452" width="12.140625" style="71" customWidth="1"/>
    <col min="9453" max="9453" width="11.85546875" style="71" customWidth="1"/>
    <col min="9454" max="9454" width="12" style="71" customWidth="1"/>
    <col min="9455" max="9455" width="13.42578125" style="71" customWidth="1"/>
    <col min="9456" max="9456" width="10.5703125" style="71" customWidth="1"/>
    <col min="9457" max="9457" width="11" style="71" customWidth="1"/>
    <col min="9458" max="9698" width="9.140625" style="71"/>
    <col min="9699" max="9699" width="5.5703125" style="71" customWidth="1"/>
    <col min="9700" max="9700" width="27.5703125" style="71" customWidth="1"/>
    <col min="9701" max="9701" width="9.140625" style="71"/>
    <col min="9702" max="9702" width="13.5703125" style="71" customWidth="1"/>
    <col min="9703" max="9703" width="15.42578125" style="71" customWidth="1"/>
    <col min="9704" max="9704" width="8.42578125" style="71" customWidth="1"/>
    <col min="9705" max="9705" width="9.42578125" style="71" customWidth="1"/>
    <col min="9706" max="9706" width="11.140625" style="71" customWidth="1"/>
    <col min="9707" max="9708" width="12.140625" style="71" customWidth="1"/>
    <col min="9709" max="9709" width="11.85546875" style="71" customWidth="1"/>
    <col min="9710" max="9710" width="12" style="71" customWidth="1"/>
    <col min="9711" max="9711" width="13.42578125" style="71" customWidth="1"/>
    <col min="9712" max="9712" width="10.5703125" style="71" customWidth="1"/>
    <col min="9713" max="9713" width="11" style="71" customWidth="1"/>
    <col min="9714" max="9954" width="9.140625" style="71"/>
    <col min="9955" max="9955" width="5.5703125" style="71" customWidth="1"/>
    <col min="9956" max="9956" width="27.5703125" style="71" customWidth="1"/>
    <col min="9957" max="9957" width="9.140625" style="71"/>
    <col min="9958" max="9958" width="13.5703125" style="71" customWidth="1"/>
    <col min="9959" max="9959" width="15.42578125" style="71" customWidth="1"/>
    <col min="9960" max="9960" width="8.42578125" style="71" customWidth="1"/>
    <col min="9961" max="9961" width="9.42578125" style="71" customWidth="1"/>
    <col min="9962" max="9962" width="11.140625" style="71" customWidth="1"/>
    <col min="9963" max="9964" width="12.140625" style="71" customWidth="1"/>
    <col min="9965" max="9965" width="11.85546875" style="71" customWidth="1"/>
    <col min="9966" max="9966" width="12" style="71" customWidth="1"/>
    <col min="9967" max="9967" width="13.42578125" style="71" customWidth="1"/>
    <col min="9968" max="9968" width="10.5703125" style="71" customWidth="1"/>
    <col min="9969" max="9969" width="11" style="71" customWidth="1"/>
    <col min="9970" max="10210" width="9.140625" style="71"/>
    <col min="10211" max="10211" width="5.5703125" style="71" customWidth="1"/>
    <col min="10212" max="10212" width="27.5703125" style="71" customWidth="1"/>
    <col min="10213" max="10213" width="9.140625" style="71"/>
    <col min="10214" max="10214" width="13.5703125" style="71" customWidth="1"/>
    <col min="10215" max="10215" width="15.42578125" style="71" customWidth="1"/>
    <col min="10216" max="10216" width="8.42578125" style="71" customWidth="1"/>
    <col min="10217" max="10217" width="9.42578125" style="71" customWidth="1"/>
    <col min="10218" max="10218" width="11.140625" style="71" customWidth="1"/>
    <col min="10219" max="10220" width="12.140625" style="71" customWidth="1"/>
    <col min="10221" max="10221" width="11.85546875" style="71" customWidth="1"/>
    <col min="10222" max="10222" width="12" style="71" customWidth="1"/>
    <col min="10223" max="10223" width="13.42578125" style="71" customWidth="1"/>
    <col min="10224" max="10224" width="10.5703125" style="71" customWidth="1"/>
    <col min="10225" max="10225" width="11" style="71" customWidth="1"/>
    <col min="10226" max="10466" width="9.140625" style="71"/>
    <col min="10467" max="10467" width="5.5703125" style="71" customWidth="1"/>
    <col min="10468" max="10468" width="27.5703125" style="71" customWidth="1"/>
    <col min="10469" max="10469" width="9.140625" style="71"/>
    <col min="10470" max="10470" width="13.5703125" style="71" customWidth="1"/>
    <col min="10471" max="10471" width="15.42578125" style="71" customWidth="1"/>
    <col min="10472" max="10472" width="8.42578125" style="71" customWidth="1"/>
    <col min="10473" max="10473" width="9.42578125" style="71" customWidth="1"/>
    <col min="10474" max="10474" width="11.140625" style="71" customWidth="1"/>
    <col min="10475" max="10476" width="12.140625" style="71" customWidth="1"/>
    <col min="10477" max="10477" width="11.85546875" style="71" customWidth="1"/>
    <col min="10478" max="10478" width="12" style="71" customWidth="1"/>
    <col min="10479" max="10479" width="13.42578125" style="71" customWidth="1"/>
    <col min="10480" max="10480" width="10.5703125" style="71" customWidth="1"/>
    <col min="10481" max="10481" width="11" style="71" customWidth="1"/>
    <col min="10482" max="10722" width="9.140625" style="71"/>
    <col min="10723" max="10723" width="5.5703125" style="71" customWidth="1"/>
    <col min="10724" max="10724" width="27.5703125" style="71" customWidth="1"/>
    <col min="10725" max="10725" width="9.140625" style="71"/>
    <col min="10726" max="10726" width="13.5703125" style="71" customWidth="1"/>
    <col min="10727" max="10727" width="15.42578125" style="71" customWidth="1"/>
    <col min="10728" max="10728" width="8.42578125" style="71" customWidth="1"/>
    <col min="10729" max="10729" width="9.42578125" style="71" customWidth="1"/>
    <col min="10730" max="10730" width="11.140625" style="71" customWidth="1"/>
    <col min="10731" max="10732" width="12.140625" style="71" customWidth="1"/>
    <col min="10733" max="10733" width="11.85546875" style="71" customWidth="1"/>
    <col min="10734" max="10734" width="12" style="71" customWidth="1"/>
    <col min="10735" max="10735" width="13.42578125" style="71" customWidth="1"/>
    <col min="10736" max="10736" width="10.5703125" style="71" customWidth="1"/>
    <col min="10737" max="10737" width="11" style="71" customWidth="1"/>
    <col min="10738" max="10978" width="9.140625" style="71"/>
    <col min="10979" max="10979" width="5.5703125" style="71" customWidth="1"/>
    <col min="10980" max="10980" width="27.5703125" style="71" customWidth="1"/>
    <col min="10981" max="10981" width="9.140625" style="71"/>
    <col min="10982" max="10982" width="13.5703125" style="71" customWidth="1"/>
    <col min="10983" max="10983" width="15.42578125" style="71" customWidth="1"/>
    <col min="10984" max="10984" width="8.42578125" style="71" customWidth="1"/>
    <col min="10985" max="10985" width="9.42578125" style="71" customWidth="1"/>
    <col min="10986" max="10986" width="11.140625" style="71" customWidth="1"/>
    <col min="10987" max="10988" width="12.140625" style="71" customWidth="1"/>
    <col min="10989" max="10989" width="11.85546875" style="71" customWidth="1"/>
    <col min="10990" max="10990" width="12" style="71" customWidth="1"/>
    <col min="10991" max="10991" width="13.42578125" style="71" customWidth="1"/>
    <col min="10992" max="10992" width="10.5703125" style="71" customWidth="1"/>
    <col min="10993" max="10993" width="11" style="71" customWidth="1"/>
    <col min="10994" max="11234" width="9.140625" style="71"/>
    <col min="11235" max="11235" width="5.5703125" style="71" customWidth="1"/>
    <col min="11236" max="11236" width="27.5703125" style="71" customWidth="1"/>
    <col min="11237" max="11237" width="9.140625" style="71"/>
    <col min="11238" max="11238" width="13.5703125" style="71" customWidth="1"/>
    <col min="11239" max="11239" width="15.42578125" style="71" customWidth="1"/>
    <col min="11240" max="11240" width="8.42578125" style="71" customWidth="1"/>
    <col min="11241" max="11241" width="9.42578125" style="71" customWidth="1"/>
    <col min="11242" max="11242" width="11.140625" style="71" customWidth="1"/>
    <col min="11243" max="11244" width="12.140625" style="71" customWidth="1"/>
    <col min="11245" max="11245" width="11.85546875" style="71" customWidth="1"/>
    <col min="11246" max="11246" width="12" style="71" customWidth="1"/>
    <col min="11247" max="11247" width="13.42578125" style="71" customWidth="1"/>
    <col min="11248" max="11248" width="10.5703125" style="71" customWidth="1"/>
    <col min="11249" max="11249" width="11" style="71" customWidth="1"/>
    <col min="11250" max="11490" width="9.140625" style="71"/>
    <col min="11491" max="11491" width="5.5703125" style="71" customWidth="1"/>
    <col min="11492" max="11492" width="27.5703125" style="71" customWidth="1"/>
    <col min="11493" max="11493" width="9.140625" style="71"/>
    <col min="11494" max="11494" width="13.5703125" style="71" customWidth="1"/>
    <col min="11495" max="11495" width="15.42578125" style="71" customWidth="1"/>
    <col min="11496" max="11496" width="8.42578125" style="71" customWidth="1"/>
    <col min="11497" max="11497" width="9.42578125" style="71" customWidth="1"/>
    <col min="11498" max="11498" width="11.140625" style="71" customWidth="1"/>
    <col min="11499" max="11500" width="12.140625" style="71" customWidth="1"/>
    <col min="11501" max="11501" width="11.85546875" style="71" customWidth="1"/>
    <col min="11502" max="11502" width="12" style="71" customWidth="1"/>
    <col min="11503" max="11503" width="13.42578125" style="71" customWidth="1"/>
    <col min="11504" max="11504" width="10.5703125" style="71" customWidth="1"/>
    <col min="11505" max="11505" width="11" style="71" customWidth="1"/>
    <col min="11506" max="11746" width="9.140625" style="71"/>
    <col min="11747" max="11747" width="5.5703125" style="71" customWidth="1"/>
    <col min="11748" max="11748" width="27.5703125" style="71" customWidth="1"/>
    <col min="11749" max="11749" width="9.140625" style="71"/>
    <col min="11750" max="11750" width="13.5703125" style="71" customWidth="1"/>
    <col min="11751" max="11751" width="15.42578125" style="71" customWidth="1"/>
    <col min="11752" max="11752" width="8.42578125" style="71" customWidth="1"/>
    <col min="11753" max="11753" width="9.42578125" style="71" customWidth="1"/>
    <col min="11754" max="11754" width="11.140625" style="71" customWidth="1"/>
    <col min="11755" max="11756" width="12.140625" style="71" customWidth="1"/>
    <col min="11757" max="11757" width="11.85546875" style="71" customWidth="1"/>
    <col min="11758" max="11758" width="12" style="71" customWidth="1"/>
    <col min="11759" max="11759" width="13.42578125" style="71" customWidth="1"/>
    <col min="11760" max="11760" width="10.5703125" style="71" customWidth="1"/>
    <col min="11761" max="11761" width="11" style="71" customWidth="1"/>
    <col min="11762" max="12002" width="9.140625" style="71"/>
    <col min="12003" max="12003" width="5.5703125" style="71" customWidth="1"/>
    <col min="12004" max="12004" width="27.5703125" style="71" customWidth="1"/>
    <col min="12005" max="12005" width="9.140625" style="71"/>
    <col min="12006" max="12006" width="13.5703125" style="71" customWidth="1"/>
    <col min="12007" max="12007" width="15.42578125" style="71" customWidth="1"/>
    <col min="12008" max="12008" width="8.42578125" style="71" customWidth="1"/>
    <col min="12009" max="12009" width="9.42578125" style="71" customWidth="1"/>
    <col min="12010" max="12010" width="11.140625" style="71" customWidth="1"/>
    <col min="12011" max="12012" width="12.140625" style="71" customWidth="1"/>
    <col min="12013" max="12013" width="11.85546875" style="71" customWidth="1"/>
    <col min="12014" max="12014" width="12" style="71" customWidth="1"/>
    <col min="12015" max="12015" width="13.42578125" style="71" customWidth="1"/>
    <col min="12016" max="12016" width="10.5703125" style="71" customWidth="1"/>
    <col min="12017" max="12017" width="11" style="71" customWidth="1"/>
    <col min="12018" max="12258" width="9.140625" style="71"/>
    <col min="12259" max="12259" width="5.5703125" style="71" customWidth="1"/>
    <col min="12260" max="12260" width="27.5703125" style="71" customWidth="1"/>
    <col min="12261" max="12261" width="9.140625" style="71"/>
    <col min="12262" max="12262" width="13.5703125" style="71" customWidth="1"/>
    <col min="12263" max="12263" width="15.42578125" style="71" customWidth="1"/>
    <col min="12264" max="12264" width="8.42578125" style="71" customWidth="1"/>
    <col min="12265" max="12265" width="9.42578125" style="71" customWidth="1"/>
    <col min="12266" max="12266" width="11.140625" style="71" customWidth="1"/>
    <col min="12267" max="12268" width="12.140625" style="71" customWidth="1"/>
    <col min="12269" max="12269" width="11.85546875" style="71" customWidth="1"/>
    <col min="12270" max="12270" width="12" style="71" customWidth="1"/>
    <col min="12271" max="12271" width="13.42578125" style="71" customWidth="1"/>
    <col min="12272" max="12272" width="10.5703125" style="71" customWidth="1"/>
    <col min="12273" max="12273" width="11" style="71" customWidth="1"/>
    <col min="12274" max="12514" width="9.140625" style="71"/>
    <col min="12515" max="12515" width="5.5703125" style="71" customWidth="1"/>
    <col min="12516" max="12516" width="27.5703125" style="71" customWidth="1"/>
    <col min="12517" max="12517" width="9.140625" style="71"/>
    <col min="12518" max="12518" width="13.5703125" style="71" customWidth="1"/>
    <col min="12519" max="12519" width="15.42578125" style="71" customWidth="1"/>
    <col min="12520" max="12520" width="8.42578125" style="71" customWidth="1"/>
    <col min="12521" max="12521" width="9.42578125" style="71" customWidth="1"/>
    <col min="12522" max="12522" width="11.140625" style="71" customWidth="1"/>
    <col min="12523" max="12524" width="12.140625" style="71" customWidth="1"/>
    <col min="12525" max="12525" width="11.85546875" style="71" customWidth="1"/>
    <col min="12526" max="12526" width="12" style="71" customWidth="1"/>
    <col min="12527" max="12527" width="13.42578125" style="71" customWidth="1"/>
    <col min="12528" max="12528" width="10.5703125" style="71" customWidth="1"/>
    <col min="12529" max="12529" width="11" style="71" customWidth="1"/>
    <col min="12530" max="12770" width="9.140625" style="71"/>
    <col min="12771" max="12771" width="5.5703125" style="71" customWidth="1"/>
    <col min="12772" max="12772" width="27.5703125" style="71" customWidth="1"/>
    <col min="12773" max="12773" width="9.140625" style="71"/>
    <col min="12774" max="12774" width="13.5703125" style="71" customWidth="1"/>
    <col min="12775" max="12775" width="15.42578125" style="71" customWidth="1"/>
    <col min="12776" max="12776" width="8.42578125" style="71" customWidth="1"/>
    <col min="12777" max="12777" width="9.42578125" style="71" customWidth="1"/>
    <col min="12778" max="12778" width="11.140625" style="71" customWidth="1"/>
    <col min="12779" max="12780" width="12.140625" style="71" customWidth="1"/>
    <col min="12781" max="12781" width="11.85546875" style="71" customWidth="1"/>
    <col min="12782" max="12782" width="12" style="71" customWidth="1"/>
    <col min="12783" max="12783" width="13.42578125" style="71" customWidth="1"/>
    <col min="12784" max="12784" width="10.5703125" style="71" customWidth="1"/>
    <col min="12785" max="12785" width="11" style="71" customWidth="1"/>
    <col min="12786" max="13026" width="9.140625" style="71"/>
    <col min="13027" max="13027" width="5.5703125" style="71" customWidth="1"/>
    <col min="13028" max="13028" width="27.5703125" style="71" customWidth="1"/>
    <col min="13029" max="13029" width="9.140625" style="71"/>
    <col min="13030" max="13030" width="13.5703125" style="71" customWidth="1"/>
    <col min="13031" max="13031" width="15.42578125" style="71" customWidth="1"/>
    <col min="13032" max="13032" width="8.42578125" style="71" customWidth="1"/>
    <col min="13033" max="13033" width="9.42578125" style="71" customWidth="1"/>
    <col min="13034" max="13034" width="11.140625" style="71" customWidth="1"/>
    <col min="13035" max="13036" width="12.140625" style="71" customWidth="1"/>
    <col min="13037" max="13037" width="11.85546875" style="71" customWidth="1"/>
    <col min="13038" max="13038" width="12" style="71" customWidth="1"/>
    <col min="13039" max="13039" width="13.42578125" style="71" customWidth="1"/>
    <col min="13040" max="13040" width="10.5703125" style="71" customWidth="1"/>
    <col min="13041" max="13041" width="11" style="71" customWidth="1"/>
    <col min="13042" max="13282" width="9.140625" style="71"/>
    <col min="13283" max="13283" width="5.5703125" style="71" customWidth="1"/>
    <col min="13284" max="13284" width="27.5703125" style="71" customWidth="1"/>
    <col min="13285" max="13285" width="9.140625" style="71"/>
    <col min="13286" max="13286" width="13.5703125" style="71" customWidth="1"/>
    <col min="13287" max="13287" width="15.42578125" style="71" customWidth="1"/>
    <col min="13288" max="13288" width="8.42578125" style="71" customWidth="1"/>
    <col min="13289" max="13289" width="9.42578125" style="71" customWidth="1"/>
    <col min="13290" max="13290" width="11.140625" style="71" customWidth="1"/>
    <col min="13291" max="13292" width="12.140625" style="71" customWidth="1"/>
    <col min="13293" max="13293" width="11.85546875" style="71" customWidth="1"/>
    <col min="13294" max="13294" width="12" style="71" customWidth="1"/>
    <col min="13295" max="13295" width="13.42578125" style="71" customWidth="1"/>
    <col min="13296" max="13296" width="10.5703125" style="71" customWidth="1"/>
    <col min="13297" max="13297" width="11" style="71" customWidth="1"/>
    <col min="13298" max="13538" width="9.140625" style="71"/>
    <col min="13539" max="13539" width="5.5703125" style="71" customWidth="1"/>
    <col min="13540" max="13540" width="27.5703125" style="71" customWidth="1"/>
    <col min="13541" max="13541" width="9.140625" style="71"/>
    <col min="13542" max="13542" width="13.5703125" style="71" customWidth="1"/>
    <col min="13543" max="13543" width="15.42578125" style="71" customWidth="1"/>
    <col min="13544" max="13544" width="8.42578125" style="71" customWidth="1"/>
    <col min="13545" max="13545" width="9.42578125" style="71" customWidth="1"/>
    <col min="13546" max="13546" width="11.140625" style="71" customWidth="1"/>
    <col min="13547" max="13548" width="12.140625" style="71" customWidth="1"/>
    <col min="13549" max="13549" width="11.85546875" style="71" customWidth="1"/>
    <col min="13550" max="13550" width="12" style="71" customWidth="1"/>
    <col min="13551" max="13551" width="13.42578125" style="71" customWidth="1"/>
    <col min="13552" max="13552" width="10.5703125" style="71" customWidth="1"/>
    <col min="13553" max="13553" width="11" style="71" customWidth="1"/>
    <col min="13554" max="13794" width="9.140625" style="71"/>
    <col min="13795" max="13795" width="5.5703125" style="71" customWidth="1"/>
    <col min="13796" max="13796" width="27.5703125" style="71" customWidth="1"/>
    <col min="13797" max="13797" width="9.140625" style="71"/>
    <col min="13798" max="13798" width="13.5703125" style="71" customWidth="1"/>
    <col min="13799" max="13799" width="15.42578125" style="71" customWidth="1"/>
    <col min="13800" max="13800" width="8.42578125" style="71" customWidth="1"/>
    <col min="13801" max="13801" width="9.42578125" style="71" customWidth="1"/>
    <col min="13802" max="13802" width="11.140625" style="71" customWidth="1"/>
    <col min="13803" max="13804" width="12.140625" style="71" customWidth="1"/>
    <col min="13805" max="13805" width="11.85546875" style="71" customWidth="1"/>
    <col min="13806" max="13806" width="12" style="71" customWidth="1"/>
    <col min="13807" max="13807" width="13.42578125" style="71" customWidth="1"/>
    <col min="13808" max="13808" width="10.5703125" style="71" customWidth="1"/>
    <col min="13809" max="13809" width="11" style="71" customWidth="1"/>
    <col min="13810" max="14050" width="9.140625" style="71"/>
    <col min="14051" max="14051" width="5.5703125" style="71" customWidth="1"/>
    <col min="14052" max="14052" width="27.5703125" style="71" customWidth="1"/>
    <col min="14053" max="14053" width="9.140625" style="71"/>
    <col min="14054" max="14054" width="13.5703125" style="71" customWidth="1"/>
    <col min="14055" max="14055" width="15.42578125" style="71" customWidth="1"/>
    <col min="14056" max="14056" width="8.42578125" style="71" customWidth="1"/>
    <col min="14057" max="14057" width="9.42578125" style="71" customWidth="1"/>
    <col min="14058" max="14058" width="11.140625" style="71" customWidth="1"/>
    <col min="14059" max="14060" width="12.140625" style="71" customWidth="1"/>
    <col min="14061" max="14061" width="11.85546875" style="71" customWidth="1"/>
    <col min="14062" max="14062" width="12" style="71" customWidth="1"/>
    <col min="14063" max="14063" width="13.42578125" style="71" customWidth="1"/>
    <col min="14064" max="14064" width="10.5703125" style="71" customWidth="1"/>
    <col min="14065" max="14065" width="11" style="71" customWidth="1"/>
    <col min="14066" max="14306" width="9.140625" style="71"/>
    <col min="14307" max="14307" width="5.5703125" style="71" customWidth="1"/>
    <col min="14308" max="14308" width="27.5703125" style="71" customWidth="1"/>
    <col min="14309" max="14309" width="9.140625" style="71"/>
    <col min="14310" max="14310" width="13.5703125" style="71" customWidth="1"/>
    <col min="14311" max="14311" width="15.42578125" style="71" customWidth="1"/>
    <col min="14312" max="14312" width="8.42578125" style="71" customWidth="1"/>
    <col min="14313" max="14313" width="9.42578125" style="71" customWidth="1"/>
    <col min="14314" max="14314" width="11.140625" style="71" customWidth="1"/>
    <col min="14315" max="14316" width="12.140625" style="71" customWidth="1"/>
    <col min="14317" max="14317" width="11.85546875" style="71" customWidth="1"/>
    <col min="14318" max="14318" width="12" style="71" customWidth="1"/>
    <col min="14319" max="14319" width="13.42578125" style="71" customWidth="1"/>
    <col min="14320" max="14320" width="10.5703125" style="71" customWidth="1"/>
    <col min="14321" max="14321" width="11" style="71" customWidth="1"/>
    <col min="14322" max="14562" width="9.140625" style="71"/>
    <col min="14563" max="14563" width="5.5703125" style="71" customWidth="1"/>
    <col min="14564" max="14564" width="27.5703125" style="71" customWidth="1"/>
    <col min="14565" max="14565" width="9.140625" style="71"/>
    <col min="14566" max="14566" width="13.5703125" style="71" customWidth="1"/>
    <col min="14567" max="14567" width="15.42578125" style="71" customWidth="1"/>
    <col min="14568" max="14568" width="8.42578125" style="71" customWidth="1"/>
    <col min="14569" max="14569" width="9.42578125" style="71" customWidth="1"/>
    <col min="14570" max="14570" width="11.140625" style="71" customWidth="1"/>
    <col min="14571" max="14572" width="12.140625" style="71" customWidth="1"/>
    <col min="14573" max="14573" width="11.85546875" style="71" customWidth="1"/>
    <col min="14574" max="14574" width="12" style="71" customWidth="1"/>
    <col min="14575" max="14575" width="13.42578125" style="71" customWidth="1"/>
    <col min="14576" max="14576" width="10.5703125" style="71" customWidth="1"/>
    <col min="14577" max="14577" width="11" style="71" customWidth="1"/>
    <col min="14578" max="14818" width="9.140625" style="71"/>
    <col min="14819" max="14819" width="5.5703125" style="71" customWidth="1"/>
    <col min="14820" max="14820" width="27.5703125" style="71" customWidth="1"/>
    <col min="14821" max="14821" width="9.140625" style="71"/>
    <col min="14822" max="14822" width="13.5703125" style="71" customWidth="1"/>
    <col min="14823" max="14823" width="15.42578125" style="71" customWidth="1"/>
    <col min="14824" max="14824" width="8.42578125" style="71" customWidth="1"/>
    <col min="14825" max="14825" width="9.42578125" style="71" customWidth="1"/>
    <col min="14826" max="14826" width="11.140625" style="71" customWidth="1"/>
    <col min="14827" max="14828" width="12.140625" style="71" customWidth="1"/>
    <col min="14829" max="14829" width="11.85546875" style="71" customWidth="1"/>
    <col min="14830" max="14830" width="12" style="71" customWidth="1"/>
    <col min="14831" max="14831" width="13.42578125" style="71" customWidth="1"/>
    <col min="14832" max="14832" width="10.5703125" style="71" customWidth="1"/>
    <col min="14833" max="14833" width="11" style="71" customWidth="1"/>
    <col min="14834" max="15074" width="9.140625" style="71"/>
    <col min="15075" max="15075" width="5.5703125" style="71" customWidth="1"/>
    <col min="15076" max="15076" width="27.5703125" style="71" customWidth="1"/>
    <col min="15077" max="15077" width="9.140625" style="71"/>
    <col min="15078" max="15078" width="13.5703125" style="71" customWidth="1"/>
    <col min="15079" max="15079" width="15.42578125" style="71" customWidth="1"/>
    <col min="15080" max="15080" width="8.42578125" style="71" customWidth="1"/>
    <col min="15081" max="15081" width="9.42578125" style="71" customWidth="1"/>
    <col min="15082" max="15082" width="11.140625" style="71" customWidth="1"/>
    <col min="15083" max="15084" width="12.140625" style="71" customWidth="1"/>
    <col min="15085" max="15085" width="11.85546875" style="71" customWidth="1"/>
    <col min="15086" max="15086" width="12" style="71" customWidth="1"/>
    <col min="15087" max="15087" width="13.42578125" style="71" customWidth="1"/>
    <col min="15088" max="15088" width="10.5703125" style="71" customWidth="1"/>
    <col min="15089" max="15089" width="11" style="71" customWidth="1"/>
    <col min="15090" max="15330" width="9.140625" style="71"/>
    <col min="15331" max="15331" width="5.5703125" style="71" customWidth="1"/>
    <col min="15332" max="15332" width="27.5703125" style="71" customWidth="1"/>
    <col min="15333" max="15333" width="9.140625" style="71"/>
    <col min="15334" max="15334" width="13.5703125" style="71" customWidth="1"/>
    <col min="15335" max="15335" width="15.42578125" style="71" customWidth="1"/>
    <col min="15336" max="15336" width="8.42578125" style="71" customWidth="1"/>
    <col min="15337" max="15337" width="9.42578125" style="71" customWidth="1"/>
    <col min="15338" max="15338" width="11.140625" style="71" customWidth="1"/>
    <col min="15339" max="15340" width="12.140625" style="71" customWidth="1"/>
    <col min="15341" max="15341" width="11.85546875" style="71" customWidth="1"/>
    <col min="15342" max="15342" width="12" style="71" customWidth="1"/>
    <col min="15343" max="15343" width="13.42578125" style="71" customWidth="1"/>
    <col min="15344" max="15344" width="10.5703125" style="71" customWidth="1"/>
    <col min="15345" max="15345" width="11" style="71" customWidth="1"/>
    <col min="15346" max="15586" width="9.140625" style="71"/>
    <col min="15587" max="15587" width="5.5703125" style="71" customWidth="1"/>
    <col min="15588" max="15588" width="27.5703125" style="71" customWidth="1"/>
    <col min="15589" max="15589" width="9.140625" style="71"/>
    <col min="15590" max="15590" width="13.5703125" style="71" customWidth="1"/>
    <col min="15591" max="15591" width="15.42578125" style="71" customWidth="1"/>
    <col min="15592" max="15592" width="8.42578125" style="71" customWidth="1"/>
    <col min="15593" max="15593" width="9.42578125" style="71" customWidth="1"/>
    <col min="15594" max="15594" width="11.140625" style="71" customWidth="1"/>
    <col min="15595" max="15596" width="12.140625" style="71" customWidth="1"/>
    <col min="15597" max="15597" width="11.85546875" style="71" customWidth="1"/>
    <col min="15598" max="15598" width="12" style="71" customWidth="1"/>
    <col min="15599" max="15599" width="13.42578125" style="71" customWidth="1"/>
    <col min="15600" max="15600" width="10.5703125" style="71" customWidth="1"/>
    <col min="15601" max="15601" width="11" style="71" customWidth="1"/>
    <col min="15602" max="15842" width="9.140625" style="71"/>
    <col min="15843" max="15843" width="5.5703125" style="71" customWidth="1"/>
    <col min="15844" max="15844" width="27.5703125" style="71" customWidth="1"/>
    <col min="15845" max="15845" width="9.140625" style="71"/>
    <col min="15846" max="15846" width="13.5703125" style="71" customWidth="1"/>
    <col min="15847" max="15847" width="15.42578125" style="71" customWidth="1"/>
    <col min="15848" max="15848" width="8.42578125" style="71" customWidth="1"/>
    <col min="15849" max="15849" width="9.42578125" style="71" customWidth="1"/>
    <col min="15850" max="15850" width="11.140625" style="71" customWidth="1"/>
    <col min="15851" max="15852" width="12.140625" style="71" customWidth="1"/>
    <col min="15853" max="15853" width="11.85546875" style="71" customWidth="1"/>
    <col min="15854" max="15854" width="12" style="71" customWidth="1"/>
    <col min="15855" max="15855" width="13.42578125" style="71" customWidth="1"/>
    <col min="15856" max="15856" width="10.5703125" style="71" customWidth="1"/>
    <col min="15857" max="15857" width="11" style="71" customWidth="1"/>
    <col min="15858" max="16098" width="9.140625" style="71"/>
    <col min="16099" max="16099" width="5.5703125" style="71" customWidth="1"/>
    <col min="16100" max="16100" width="27.5703125" style="71" customWidth="1"/>
    <col min="16101" max="16101" width="9.140625" style="71"/>
    <col min="16102" max="16102" width="13.5703125" style="71" customWidth="1"/>
    <col min="16103" max="16103" width="15.42578125" style="71" customWidth="1"/>
    <col min="16104" max="16104" width="8.42578125" style="71" customWidth="1"/>
    <col min="16105" max="16105" width="9.42578125" style="71" customWidth="1"/>
    <col min="16106" max="16106" width="11.140625" style="71" customWidth="1"/>
    <col min="16107" max="16108" width="12.140625" style="71" customWidth="1"/>
    <col min="16109" max="16109" width="11.85546875" style="71" customWidth="1"/>
    <col min="16110" max="16110" width="12" style="71" customWidth="1"/>
    <col min="16111" max="16111" width="13.42578125" style="71" customWidth="1"/>
    <col min="16112" max="16112" width="10.5703125" style="71" customWidth="1"/>
    <col min="16113" max="16113" width="11" style="71" customWidth="1"/>
    <col min="16114" max="16384" width="9.140625" style="71"/>
  </cols>
  <sheetData>
    <row r="1" spans="1:26" s="3" customFormat="1" ht="12.75" customHeight="1">
      <c r="A1" s="500" t="s">
        <v>338</v>
      </c>
      <c r="B1" s="500"/>
      <c r="C1" s="68"/>
      <c r="D1" s="69"/>
      <c r="E1" s="69"/>
      <c r="Q1" s="199"/>
      <c r="R1" s="199"/>
      <c r="S1" s="199"/>
      <c r="T1" s="199"/>
      <c r="U1" s="199"/>
      <c r="V1" s="199"/>
      <c r="W1" s="199"/>
      <c r="X1" s="199"/>
      <c r="Y1" s="199"/>
      <c r="Z1" s="199"/>
    </row>
    <row r="2" spans="1:26" s="4" customFormat="1" ht="12.75" customHeight="1">
      <c r="A2" s="501" t="s">
        <v>339</v>
      </c>
      <c r="B2" s="501"/>
      <c r="C2" s="249"/>
      <c r="D2" s="70"/>
      <c r="E2" s="70"/>
      <c r="Q2" s="200"/>
      <c r="R2" s="200"/>
      <c r="S2" s="200"/>
      <c r="T2" s="200"/>
      <c r="U2" s="200"/>
      <c r="V2" s="200"/>
      <c r="W2" s="200"/>
      <c r="X2" s="200"/>
      <c r="Y2" s="200"/>
      <c r="Z2" s="200"/>
    </row>
    <row r="3" spans="1:26" s="3" customFormat="1">
      <c r="A3" s="68"/>
      <c r="B3" s="68"/>
      <c r="C3" s="68"/>
      <c r="D3" s="68"/>
      <c r="E3" s="68"/>
      <c r="Q3" s="199"/>
      <c r="R3" s="199"/>
      <c r="S3" s="199"/>
      <c r="T3" s="199"/>
      <c r="U3" s="199"/>
      <c r="V3" s="199"/>
      <c r="W3" s="199"/>
      <c r="X3" s="199"/>
      <c r="Y3" s="199"/>
      <c r="Z3" s="199"/>
    </row>
    <row r="4" spans="1:26" ht="18.75">
      <c r="A4" s="502" t="s">
        <v>101</v>
      </c>
      <c r="B4" s="502"/>
      <c r="C4" s="502"/>
      <c r="D4" s="502"/>
      <c r="E4" s="502"/>
      <c r="F4" s="502"/>
      <c r="G4" s="502"/>
      <c r="H4" s="502"/>
      <c r="I4" s="502"/>
      <c r="J4" s="502"/>
      <c r="K4" s="502"/>
      <c r="L4" s="502"/>
      <c r="M4" s="502"/>
      <c r="N4" s="502"/>
      <c r="O4" s="502"/>
    </row>
    <row r="5" spans="1:26" ht="18.75">
      <c r="A5" s="503" t="s">
        <v>856</v>
      </c>
      <c r="B5" s="503"/>
      <c r="C5" s="503"/>
      <c r="D5" s="503"/>
      <c r="E5" s="503"/>
      <c r="F5" s="503"/>
      <c r="G5" s="503"/>
      <c r="H5" s="503"/>
      <c r="I5" s="503"/>
      <c r="J5" s="503"/>
      <c r="K5" s="503"/>
      <c r="L5" s="503"/>
      <c r="M5" s="503"/>
      <c r="N5" s="503"/>
      <c r="O5" s="503"/>
    </row>
    <row r="6" spans="1:26" s="3" customFormat="1" ht="20.25" customHeight="1">
      <c r="A6" s="85"/>
      <c r="B6" s="85"/>
      <c r="C6" s="86"/>
      <c r="D6" s="85"/>
      <c r="E6" s="85"/>
      <c r="F6" s="85"/>
      <c r="G6" s="85"/>
      <c r="H6" s="85"/>
      <c r="I6" s="85"/>
      <c r="J6" s="85"/>
      <c r="K6" s="85"/>
      <c r="L6" s="85"/>
      <c r="M6" s="504" t="s">
        <v>323</v>
      </c>
      <c r="N6" s="504"/>
      <c r="O6" s="504"/>
      <c r="Q6" s="199"/>
      <c r="R6" s="199"/>
      <c r="S6" s="199"/>
      <c r="T6" s="199"/>
      <c r="U6" s="199"/>
      <c r="V6" s="199"/>
      <c r="W6" s="199"/>
      <c r="X6" s="199"/>
      <c r="Y6" s="199"/>
      <c r="Z6" s="199"/>
    </row>
    <row r="7" spans="1:26" s="210" customFormat="1" ht="33.75" customHeight="1">
      <c r="A7" s="505" t="s">
        <v>102</v>
      </c>
      <c r="B7" s="495" t="s">
        <v>103</v>
      </c>
      <c r="C7" s="495" t="s">
        <v>104</v>
      </c>
      <c r="D7" s="495" t="s">
        <v>105</v>
      </c>
      <c r="E7" s="495"/>
      <c r="F7" s="495"/>
      <c r="G7" s="495"/>
      <c r="H7" s="495"/>
      <c r="I7" s="495" t="s">
        <v>106</v>
      </c>
      <c r="J7" s="495"/>
      <c r="K7" s="492" t="s">
        <v>107</v>
      </c>
      <c r="L7" s="495" t="s">
        <v>108</v>
      </c>
      <c r="M7" s="495"/>
      <c r="N7" s="495"/>
      <c r="O7" s="492" t="s">
        <v>109</v>
      </c>
      <c r="Q7" s="211"/>
      <c r="R7" s="211"/>
      <c r="S7" s="211"/>
      <c r="T7" s="211"/>
      <c r="U7" s="211"/>
      <c r="V7" s="211"/>
      <c r="W7" s="211"/>
      <c r="X7" s="211"/>
      <c r="Y7" s="211"/>
      <c r="Z7" s="211"/>
    </row>
    <row r="8" spans="1:26" s="210" customFormat="1" ht="39.75" customHeight="1">
      <c r="A8" s="505"/>
      <c r="B8" s="495"/>
      <c r="C8" s="495"/>
      <c r="D8" s="495" t="s">
        <v>110</v>
      </c>
      <c r="E8" s="495" t="s">
        <v>13</v>
      </c>
      <c r="F8" s="495" t="s">
        <v>111</v>
      </c>
      <c r="G8" s="495"/>
      <c r="H8" s="495"/>
      <c r="I8" s="495" t="s">
        <v>13</v>
      </c>
      <c r="J8" s="496" t="s">
        <v>778</v>
      </c>
      <c r="K8" s="493"/>
      <c r="L8" s="498" t="s">
        <v>112</v>
      </c>
      <c r="M8" s="499" t="s">
        <v>778</v>
      </c>
      <c r="N8" s="499"/>
      <c r="O8" s="493"/>
      <c r="Q8" s="211"/>
      <c r="R8" s="211"/>
      <c r="S8" s="211"/>
      <c r="T8" s="211"/>
      <c r="U8" s="211"/>
      <c r="V8" s="211"/>
      <c r="W8" s="211"/>
      <c r="X8" s="211"/>
      <c r="Y8" s="211"/>
      <c r="Z8" s="211"/>
    </row>
    <row r="9" spans="1:26" s="210" customFormat="1" ht="53.25" customHeight="1">
      <c r="A9" s="505"/>
      <c r="B9" s="495"/>
      <c r="C9" s="495"/>
      <c r="D9" s="495"/>
      <c r="E9" s="495"/>
      <c r="F9" s="247" t="s">
        <v>113</v>
      </c>
      <c r="G9" s="247" t="s">
        <v>15</v>
      </c>
      <c r="H9" s="247" t="s">
        <v>114</v>
      </c>
      <c r="I9" s="495"/>
      <c r="J9" s="497"/>
      <c r="K9" s="494"/>
      <c r="L9" s="498"/>
      <c r="M9" s="245" t="s">
        <v>115</v>
      </c>
      <c r="N9" s="245" t="s">
        <v>116</v>
      </c>
      <c r="O9" s="494"/>
      <c r="P9" s="210" t="s">
        <v>855</v>
      </c>
      <c r="Q9" s="211">
        <v>2016</v>
      </c>
      <c r="R9" s="211">
        <v>2017</v>
      </c>
      <c r="S9" s="73" t="s">
        <v>800</v>
      </c>
      <c r="T9" s="211">
        <v>2018</v>
      </c>
      <c r="U9" s="73" t="s">
        <v>799</v>
      </c>
      <c r="V9" s="211">
        <v>2019</v>
      </c>
      <c r="W9" s="73" t="s">
        <v>801</v>
      </c>
      <c r="X9" s="73" t="s">
        <v>805</v>
      </c>
      <c r="Y9" s="73" t="s">
        <v>807</v>
      </c>
      <c r="Z9" s="73">
        <v>2020</v>
      </c>
    </row>
    <row r="10" spans="1:26" s="212" customFormat="1" ht="16.5">
      <c r="A10" s="34">
        <v>1</v>
      </c>
      <c r="B10" s="76">
        <v>2</v>
      </c>
      <c r="C10" s="34">
        <v>3</v>
      </c>
      <c r="D10" s="76">
        <v>4</v>
      </c>
      <c r="E10" s="34">
        <v>5</v>
      </c>
      <c r="F10" s="34">
        <v>6</v>
      </c>
      <c r="G10" s="76">
        <v>7</v>
      </c>
      <c r="H10" s="34">
        <v>8</v>
      </c>
      <c r="I10" s="34">
        <v>9</v>
      </c>
      <c r="J10" s="76">
        <v>10</v>
      </c>
      <c r="K10" s="34">
        <v>11</v>
      </c>
      <c r="L10" s="34">
        <v>12</v>
      </c>
      <c r="M10" s="76">
        <v>13</v>
      </c>
      <c r="N10" s="34">
        <v>14</v>
      </c>
      <c r="O10" s="34">
        <v>15</v>
      </c>
      <c r="Q10" s="213"/>
      <c r="R10" s="213"/>
      <c r="S10" s="213"/>
      <c r="T10" s="213"/>
      <c r="U10" s="213"/>
      <c r="V10" s="213"/>
      <c r="W10" s="213"/>
      <c r="X10" s="213"/>
      <c r="Y10" s="213"/>
      <c r="Z10" s="213"/>
    </row>
    <row r="11" spans="1:26" s="210" customFormat="1" ht="16.5">
      <c r="A11" s="246"/>
      <c r="B11" s="247" t="s">
        <v>18</v>
      </c>
      <c r="C11" s="247"/>
      <c r="D11" s="247"/>
      <c r="E11" s="37">
        <f t="shared" ref="E11:N11" si="0">+E12+E128</f>
        <v>1433101.3487550002</v>
      </c>
      <c r="F11" s="37">
        <f t="shared" si="0"/>
        <v>458523.69699999999</v>
      </c>
      <c r="G11" s="37">
        <f t="shared" si="0"/>
        <v>488932.27965500008</v>
      </c>
      <c r="H11" s="37">
        <f t="shared" si="0"/>
        <v>436939.11810000002</v>
      </c>
      <c r="I11" s="37">
        <f t="shared" si="0"/>
        <v>1210062.1877069999</v>
      </c>
      <c r="J11" s="37">
        <f t="shared" si="0"/>
        <v>441249.71638500009</v>
      </c>
      <c r="K11" s="37">
        <f t="shared" si="0"/>
        <v>1226529.8062423503</v>
      </c>
      <c r="L11" s="37">
        <f t="shared" si="0"/>
        <v>1151245.6667523501</v>
      </c>
      <c r="M11" s="37">
        <f t="shared" si="0"/>
        <v>304137.24799999996</v>
      </c>
      <c r="N11" s="37">
        <f t="shared" si="0"/>
        <v>406393.1415093501</v>
      </c>
      <c r="O11" s="211"/>
      <c r="Q11" s="82"/>
      <c r="R11" s="82"/>
      <c r="S11" s="82"/>
      <c r="T11" s="82"/>
      <c r="U11" s="82"/>
      <c r="V11" s="82"/>
      <c r="W11" s="82"/>
      <c r="X11" s="82"/>
      <c r="Y11" s="82"/>
      <c r="Z11" s="82"/>
    </row>
    <row r="12" spans="1:26" s="210" customFormat="1" ht="33">
      <c r="A12" s="246" t="s">
        <v>19</v>
      </c>
      <c r="B12" s="81" t="s">
        <v>340</v>
      </c>
      <c r="C12" s="247"/>
      <c r="D12" s="247"/>
      <c r="E12" s="37">
        <f t="shared" ref="E12:N12" si="1">E13+E15+E32</f>
        <v>1145636.5727550003</v>
      </c>
      <c r="F12" s="37">
        <f t="shared" si="1"/>
        <v>446309.99699999997</v>
      </c>
      <c r="G12" s="37">
        <f t="shared" si="1"/>
        <v>406861.40175500006</v>
      </c>
      <c r="H12" s="37">
        <f t="shared" si="1"/>
        <v>292465.174</v>
      </c>
      <c r="I12" s="37">
        <f t="shared" si="1"/>
        <v>978261.57670699991</v>
      </c>
      <c r="J12" s="37">
        <f t="shared" si="1"/>
        <v>333309.09748500009</v>
      </c>
      <c r="K12" s="37">
        <f t="shared" si="1"/>
        <v>973648.23724235024</v>
      </c>
      <c r="L12" s="37">
        <f t="shared" si="1"/>
        <v>943570.01175235002</v>
      </c>
      <c r="M12" s="37">
        <f t="shared" si="1"/>
        <v>198824.41599999994</v>
      </c>
      <c r="N12" s="37">
        <f t="shared" si="1"/>
        <v>298452.5226093501</v>
      </c>
      <c r="O12" s="211"/>
      <c r="Q12" s="82"/>
      <c r="R12" s="82"/>
      <c r="S12" s="82"/>
      <c r="T12" s="82"/>
      <c r="U12" s="82"/>
      <c r="V12" s="82"/>
      <c r="W12" s="82"/>
      <c r="X12" s="82"/>
      <c r="Y12" s="82"/>
      <c r="Z12" s="82"/>
    </row>
    <row r="13" spans="1:26" s="210" customFormat="1" ht="49.5">
      <c r="A13" s="246" t="s">
        <v>20</v>
      </c>
      <c r="B13" s="73" t="s">
        <v>336</v>
      </c>
      <c r="C13" s="247"/>
      <c r="D13" s="247"/>
      <c r="E13" s="37">
        <f>E14</f>
        <v>4972.2920000000004</v>
      </c>
      <c r="F13" s="37">
        <f t="shared" ref="F13:N13" si="2">F14</f>
        <v>1500</v>
      </c>
      <c r="G13" s="37">
        <f t="shared" si="2"/>
        <v>3472.2920000000004</v>
      </c>
      <c r="H13" s="37">
        <f t="shared" si="2"/>
        <v>0</v>
      </c>
      <c r="I13" s="37">
        <f t="shared" si="2"/>
        <v>4914.5230000000001</v>
      </c>
      <c r="J13" s="37">
        <f t="shared" si="2"/>
        <v>1814.5230000000001</v>
      </c>
      <c r="K13" s="37">
        <f t="shared" si="2"/>
        <v>4914.5230000000001</v>
      </c>
      <c r="L13" s="37">
        <f t="shared" si="2"/>
        <v>4914.5230000000001</v>
      </c>
      <c r="M13" s="37">
        <f t="shared" si="2"/>
        <v>1814.5230000000001</v>
      </c>
      <c r="N13" s="37">
        <f t="shared" si="2"/>
        <v>1814.5230000000001</v>
      </c>
      <c r="O13" s="211"/>
      <c r="Q13" s="82"/>
      <c r="R13" s="82"/>
      <c r="S13" s="82"/>
      <c r="T13" s="82"/>
      <c r="U13" s="82"/>
      <c r="V13" s="82"/>
      <c r="W13" s="82"/>
      <c r="X13" s="82"/>
      <c r="Y13" s="82"/>
      <c r="Z13" s="82"/>
    </row>
    <row r="14" spans="1:26" s="216" customFormat="1" ht="66">
      <c r="A14" s="87">
        <v>1</v>
      </c>
      <c r="B14" s="88" t="s">
        <v>117</v>
      </c>
      <c r="C14" s="89">
        <v>2015</v>
      </c>
      <c r="D14" s="90" t="s">
        <v>118</v>
      </c>
      <c r="E14" s="91">
        <f>F14+G14+H14</f>
        <v>4972.2920000000004</v>
      </c>
      <c r="F14" s="91">
        <v>1500</v>
      </c>
      <c r="G14" s="91">
        <f>4972.292-1500</f>
        <v>3472.2920000000004</v>
      </c>
      <c r="H14" s="91"/>
      <c r="I14" s="91">
        <v>4914.5230000000001</v>
      </c>
      <c r="J14" s="91">
        <f>4914.523-1600-1500</f>
        <v>1814.5230000000001</v>
      </c>
      <c r="K14" s="91">
        <v>4914.5230000000001</v>
      </c>
      <c r="L14" s="91">
        <v>4914.5230000000001</v>
      </c>
      <c r="M14" s="91">
        <f>J14</f>
        <v>1814.5230000000001</v>
      </c>
      <c r="N14" s="91">
        <f>J14</f>
        <v>1814.5230000000001</v>
      </c>
      <c r="O14" s="91"/>
      <c r="Q14" s="217">
        <f>500+500</f>
        <v>1000</v>
      </c>
      <c r="R14" s="217">
        <v>314.52300000000002</v>
      </c>
      <c r="S14" s="217"/>
      <c r="T14" s="217"/>
      <c r="U14" s="217"/>
      <c r="V14" s="217"/>
      <c r="W14" s="217"/>
      <c r="X14" s="217"/>
      <c r="Y14" s="217"/>
      <c r="Z14" s="217"/>
    </row>
    <row r="15" spans="1:26" s="210" customFormat="1" ht="33">
      <c r="A15" s="246" t="s">
        <v>23</v>
      </c>
      <c r="B15" s="22" t="s">
        <v>141</v>
      </c>
      <c r="C15" s="23"/>
      <c r="D15" s="24"/>
      <c r="E15" s="25">
        <f>SUM(E16:E31)</f>
        <v>397626.299</v>
      </c>
      <c r="F15" s="25">
        <f t="shared" ref="F15:N15" si="3">SUM(F16:F31)</f>
        <v>122428.06299999999</v>
      </c>
      <c r="G15" s="25">
        <f t="shared" si="3"/>
        <v>22272.236000000001</v>
      </c>
      <c r="H15" s="25">
        <f t="shared" si="3"/>
        <v>252926</v>
      </c>
      <c r="I15" s="25">
        <f t="shared" si="3"/>
        <v>363576.41916699999</v>
      </c>
      <c r="J15" s="25">
        <f t="shared" si="3"/>
        <v>18340.601999999999</v>
      </c>
      <c r="K15" s="25">
        <f t="shared" si="3"/>
        <v>360785.34253800003</v>
      </c>
      <c r="L15" s="25">
        <f t="shared" si="3"/>
        <v>362732.71108799998</v>
      </c>
      <c r="M15" s="25">
        <f t="shared" si="3"/>
        <v>11340.602000000001</v>
      </c>
      <c r="N15" s="25">
        <f t="shared" si="3"/>
        <v>18340.601999999999</v>
      </c>
      <c r="O15" s="211"/>
      <c r="Q15" s="82"/>
      <c r="R15" s="82"/>
      <c r="S15" s="82"/>
      <c r="T15" s="82"/>
      <c r="U15" s="82"/>
      <c r="V15" s="82"/>
      <c r="W15" s="82"/>
      <c r="X15" s="82"/>
      <c r="Y15" s="82"/>
      <c r="Z15" s="82"/>
    </row>
    <row r="16" spans="1:26" s="216" customFormat="1" ht="66">
      <c r="A16" s="87">
        <v>1</v>
      </c>
      <c r="B16" s="92" t="s">
        <v>122</v>
      </c>
      <c r="C16" s="93" t="s">
        <v>120</v>
      </c>
      <c r="D16" s="90" t="s">
        <v>123</v>
      </c>
      <c r="E16" s="91">
        <f>F16+G16+H16</f>
        <v>1051.76</v>
      </c>
      <c r="F16" s="94"/>
      <c r="G16" s="95">
        <v>1051.76</v>
      </c>
      <c r="H16" s="95"/>
      <c r="I16" s="95">
        <v>967.05600000000004</v>
      </c>
      <c r="J16" s="95">
        <v>967.05600000000004</v>
      </c>
      <c r="K16" s="95">
        <v>967.05600000000004</v>
      </c>
      <c r="L16" s="95">
        <v>967.05600000000004</v>
      </c>
      <c r="M16" s="91">
        <f t="shared" ref="M16:M25" si="4">J16</f>
        <v>967.05600000000004</v>
      </c>
      <c r="N16" s="91">
        <f t="shared" ref="N16:N25" si="5">J16</f>
        <v>967.05600000000004</v>
      </c>
      <c r="O16" s="95"/>
      <c r="Q16" s="217">
        <v>300</v>
      </c>
      <c r="R16" s="217"/>
      <c r="S16" s="217"/>
      <c r="T16" s="217"/>
      <c r="U16" s="217"/>
      <c r="V16" s="217"/>
      <c r="W16" s="217"/>
      <c r="X16" s="217"/>
      <c r="Y16" s="217"/>
      <c r="Z16" s="217"/>
    </row>
    <row r="17" spans="1:26" s="216" customFormat="1" ht="82.5">
      <c r="A17" s="87">
        <v>2</v>
      </c>
      <c r="B17" s="42" t="s">
        <v>119</v>
      </c>
      <c r="C17" s="93" t="s">
        <v>120</v>
      </c>
      <c r="D17" s="96" t="s">
        <v>121</v>
      </c>
      <c r="E17" s="91">
        <f t="shared" ref="E17:E27" si="6">F17+G17+H17</f>
        <v>723.84299999999996</v>
      </c>
      <c r="F17" s="97"/>
      <c r="G17" s="98">
        <v>723.84299999999996</v>
      </c>
      <c r="H17" s="97"/>
      <c r="I17" s="79">
        <v>695.66499999999996</v>
      </c>
      <c r="J17" s="79">
        <f>695.665-300</f>
        <v>395.66499999999996</v>
      </c>
      <c r="K17" s="79">
        <v>695.66499999999996</v>
      </c>
      <c r="L17" s="79">
        <v>695.66499999999996</v>
      </c>
      <c r="M17" s="91">
        <f t="shared" si="4"/>
        <v>395.66499999999996</v>
      </c>
      <c r="N17" s="91">
        <f t="shared" si="5"/>
        <v>395.66499999999996</v>
      </c>
      <c r="O17" s="99"/>
      <c r="Q17" s="217">
        <v>150</v>
      </c>
      <c r="R17" s="217">
        <v>100</v>
      </c>
      <c r="S17" s="217"/>
      <c r="T17" s="217">
        <v>146</v>
      </c>
      <c r="U17" s="217"/>
      <c r="V17" s="217"/>
      <c r="W17" s="217"/>
      <c r="X17" s="217"/>
      <c r="Y17" s="217"/>
      <c r="Z17" s="217"/>
    </row>
    <row r="18" spans="1:26" s="259" customFormat="1" ht="82.5">
      <c r="A18" s="87">
        <v>3</v>
      </c>
      <c r="B18" s="58" t="s">
        <v>124</v>
      </c>
      <c r="C18" s="93" t="s">
        <v>120</v>
      </c>
      <c r="D18" s="96" t="s">
        <v>125</v>
      </c>
      <c r="E18" s="91">
        <f t="shared" si="6"/>
        <v>954.63199999999995</v>
      </c>
      <c r="F18" s="100"/>
      <c r="G18" s="91">
        <v>954.63199999999995</v>
      </c>
      <c r="H18" s="101"/>
      <c r="I18" s="91">
        <v>873.36500000000001</v>
      </c>
      <c r="J18" s="91">
        <v>873.36500000000001</v>
      </c>
      <c r="K18" s="91">
        <v>873.36500000000001</v>
      </c>
      <c r="L18" s="91">
        <v>873.36500000000001</v>
      </c>
      <c r="M18" s="91">
        <f t="shared" si="4"/>
        <v>873.36500000000001</v>
      </c>
      <c r="N18" s="91">
        <f t="shared" si="5"/>
        <v>873.36500000000001</v>
      </c>
      <c r="O18" s="102"/>
      <c r="Q18" s="260">
        <v>300</v>
      </c>
      <c r="R18" s="260">
        <v>67</v>
      </c>
      <c r="S18" s="260"/>
      <c r="T18" s="260"/>
      <c r="U18" s="260"/>
      <c r="V18" s="260"/>
      <c r="W18" s="260"/>
      <c r="X18" s="260"/>
      <c r="Y18" s="260"/>
      <c r="Z18" s="260"/>
    </row>
    <row r="19" spans="1:26" s="216" customFormat="1" ht="66">
      <c r="A19" s="87">
        <v>4</v>
      </c>
      <c r="B19" s="78" t="s">
        <v>131</v>
      </c>
      <c r="C19" s="93" t="s">
        <v>120</v>
      </c>
      <c r="D19" s="96" t="s">
        <v>132</v>
      </c>
      <c r="E19" s="91">
        <f t="shared" si="6"/>
        <v>11525.097</v>
      </c>
      <c r="F19" s="95">
        <f>11525.097-1000</f>
        <v>10525.097</v>
      </c>
      <c r="G19" s="95">
        <v>1000</v>
      </c>
      <c r="H19" s="97"/>
      <c r="I19" s="103">
        <v>10029.323</v>
      </c>
      <c r="J19" s="97">
        <v>1000</v>
      </c>
      <c r="K19" s="103">
        <v>10029.323</v>
      </c>
      <c r="L19" s="97">
        <v>10029.323</v>
      </c>
      <c r="M19" s="91">
        <f t="shared" si="4"/>
        <v>1000</v>
      </c>
      <c r="N19" s="91">
        <f t="shared" si="5"/>
        <v>1000</v>
      </c>
      <c r="O19" s="97"/>
      <c r="Q19" s="217"/>
      <c r="R19" s="217"/>
      <c r="S19" s="217"/>
      <c r="T19" s="217"/>
      <c r="U19" s="217"/>
      <c r="V19" s="217"/>
      <c r="W19" s="217"/>
      <c r="X19" s="217"/>
      <c r="Y19" s="217"/>
      <c r="Z19" s="217"/>
    </row>
    <row r="20" spans="1:26" s="214" customFormat="1" ht="66">
      <c r="A20" s="87">
        <v>5</v>
      </c>
      <c r="B20" s="78" t="s">
        <v>133</v>
      </c>
      <c r="C20" s="104" t="s">
        <v>120</v>
      </c>
      <c r="D20" s="46" t="s">
        <v>134</v>
      </c>
      <c r="E20" s="91">
        <f t="shared" si="6"/>
        <v>24267.087</v>
      </c>
      <c r="F20" s="101">
        <v>18000</v>
      </c>
      <c r="G20" s="101">
        <v>6267.0869999999995</v>
      </c>
      <c r="H20" s="101"/>
      <c r="I20" s="101">
        <v>21059.795999999998</v>
      </c>
      <c r="J20" s="97">
        <v>1093.3599999999999</v>
      </c>
      <c r="K20" s="101">
        <v>21059.795999999998</v>
      </c>
      <c r="L20" s="101">
        <v>21059.795999999998</v>
      </c>
      <c r="M20" s="91">
        <f t="shared" si="4"/>
        <v>1093.3599999999999</v>
      </c>
      <c r="N20" s="91">
        <f t="shared" si="5"/>
        <v>1093.3599999999999</v>
      </c>
      <c r="O20" s="101"/>
      <c r="Q20" s="215"/>
      <c r="R20" s="215"/>
      <c r="S20" s="215"/>
      <c r="T20" s="215"/>
      <c r="U20" s="215"/>
      <c r="V20" s="215">
        <v>722.32799999999997</v>
      </c>
      <c r="W20" s="215"/>
      <c r="X20" s="215"/>
      <c r="Y20" s="215"/>
      <c r="Z20" s="215"/>
    </row>
    <row r="21" spans="1:26" s="216" customFormat="1" ht="66">
      <c r="A21" s="87">
        <v>6</v>
      </c>
      <c r="B21" s="78" t="s">
        <v>135</v>
      </c>
      <c r="C21" s="93" t="s">
        <v>120</v>
      </c>
      <c r="D21" s="96" t="s">
        <v>136</v>
      </c>
      <c r="E21" s="91">
        <f t="shared" si="6"/>
        <v>3267.68</v>
      </c>
      <c r="F21" s="95">
        <f>3267.68-100</f>
        <v>3167.68</v>
      </c>
      <c r="G21" s="95">
        <v>100</v>
      </c>
      <c r="H21" s="97"/>
      <c r="I21" s="97">
        <v>2905.3850000000002</v>
      </c>
      <c r="J21" s="97">
        <v>100</v>
      </c>
      <c r="K21" s="97">
        <v>2905.3850000000002</v>
      </c>
      <c r="L21" s="97">
        <v>2905.3850000000002</v>
      </c>
      <c r="M21" s="91">
        <f t="shared" si="4"/>
        <v>100</v>
      </c>
      <c r="N21" s="91">
        <f t="shared" si="5"/>
        <v>100</v>
      </c>
      <c r="O21" s="97"/>
      <c r="P21" s="216">
        <v>1</v>
      </c>
      <c r="Q21" s="217"/>
      <c r="R21" s="217">
        <v>100</v>
      </c>
      <c r="S21" s="217"/>
      <c r="T21" s="217"/>
      <c r="U21" s="217"/>
      <c r="V21" s="217"/>
      <c r="W21" s="217"/>
      <c r="X21" s="217"/>
      <c r="Y21" s="217"/>
      <c r="Z21" s="217"/>
    </row>
    <row r="22" spans="1:26" s="216" customFormat="1" ht="66">
      <c r="A22" s="87">
        <v>7</v>
      </c>
      <c r="B22" s="105" t="s">
        <v>137</v>
      </c>
      <c r="C22" s="93" t="s">
        <v>120</v>
      </c>
      <c r="D22" s="96" t="s">
        <v>138</v>
      </c>
      <c r="E22" s="91">
        <f t="shared" si="6"/>
        <v>10441.09</v>
      </c>
      <c r="F22" s="95">
        <f>10441.09-1000</f>
        <v>9441.09</v>
      </c>
      <c r="G22" s="95">
        <v>1000</v>
      </c>
      <c r="H22" s="97"/>
      <c r="I22" s="106">
        <v>9214.6597999999994</v>
      </c>
      <c r="J22" s="97">
        <v>1000</v>
      </c>
      <c r="K22" s="106">
        <v>9214.6597999999994</v>
      </c>
      <c r="L22" s="106">
        <v>9214.6597999999994</v>
      </c>
      <c r="M22" s="91">
        <f t="shared" si="4"/>
        <v>1000</v>
      </c>
      <c r="N22" s="91">
        <f t="shared" si="5"/>
        <v>1000</v>
      </c>
      <c r="O22" s="106"/>
      <c r="P22" s="216">
        <v>1</v>
      </c>
      <c r="Q22" s="217"/>
      <c r="R22" s="217">
        <v>100</v>
      </c>
      <c r="S22" s="217"/>
      <c r="T22" s="217"/>
      <c r="U22" s="217"/>
      <c r="V22" s="217"/>
      <c r="W22" s="217"/>
      <c r="X22" s="217"/>
      <c r="Y22" s="217"/>
      <c r="Z22" s="217"/>
    </row>
    <row r="23" spans="1:26" s="74" customFormat="1" ht="66">
      <c r="A23" s="87">
        <v>8</v>
      </c>
      <c r="B23" s="88" t="s">
        <v>139</v>
      </c>
      <c r="C23" s="89" t="s">
        <v>120</v>
      </c>
      <c r="D23" s="96" t="s">
        <v>140</v>
      </c>
      <c r="E23" s="91">
        <f t="shared" si="6"/>
        <v>6358.8419999999996</v>
      </c>
      <c r="F23" s="95">
        <f>6358.842-1726</f>
        <v>4632.8419999999996</v>
      </c>
      <c r="G23" s="97">
        <v>1726</v>
      </c>
      <c r="H23" s="97"/>
      <c r="I23" s="106">
        <v>5543.6840000000002</v>
      </c>
      <c r="J23" s="97">
        <v>1726</v>
      </c>
      <c r="K23" s="106">
        <v>5543.6840000000002</v>
      </c>
      <c r="L23" s="106">
        <v>5543.6840000000002</v>
      </c>
      <c r="M23" s="91">
        <f t="shared" si="4"/>
        <v>1726</v>
      </c>
      <c r="N23" s="91">
        <f t="shared" si="5"/>
        <v>1726</v>
      </c>
      <c r="O23" s="106"/>
      <c r="Q23" s="261"/>
      <c r="R23" s="261"/>
      <c r="S23" s="261"/>
      <c r="T23" s="261">
        <v>500</v>
      </c>
      <c r="U23" s="261">
        <v>226</v>
      </c>
      <c r="V23" s="261"/>
      <c r="W23" s="261"/>
      <c r="X23" s="261"/>
      <c r="Y23" s="261"/>
      <c r="Z23" s="261"/>
    </row>
    <row r="24" spans="1:26" s="216" customFormat="1" ht="66">
      <c r="A24" s="87">
        <v>9</v>
      </c>
      <c r="B24" s="78" t="s">
        <v>163</v>
      </c>
      <c r="C24" s="93" t="s">
        <v>164</v>
      </c>
      <c r="D24" s="96" t="s">
        <v>165</v>
      </c>
      <c r="E24" s="91">
        <f t="shared" si="6"/>
        <v>9933.4629999999997</v>
      </c>
      <c r="F24" s="107">
        <f>9933.463-(429.197+19.717)</f>
        <v>9484.5489999999991</v>
      </c>
      <c r="G24" s="101">
        <f>429.197+19.717</f>
        <v>448.91399999999999</v>
      </c>
      <c r="H24" s="97"/>
      <c r="I24" s="101">
        <v>8811.9140000000007</v>
      </c>
      <c r="J24" s="101">
        <f>429.197+19.717</f>
        <v>448.91399999999999</v>
      </c>
      <c r="K24" s="101">
        <v>8811.9140000000007</v>
      </c>
      <c r="L24" s="101">
        <v>8811.9140000000007</v>
      </c>
      <c r="M24" s="91">
        <f t="shared" si="4"/>
        <v>448.91399999999999</v>
      </c>
      <c r="N24" s="91">
        <f t="shared" si="5"/>
        <v>448.91399999999999</v>
      </c>
      <c r="O24" s="97"/>
      <c r="Q24" s="217"/>
      <c r="R24" s="217"/>
      <c r="S24" s="217"/>
      <c r="T24" s="217"/>
      <c r="U24" s="217">
        <v>448.91399999999999</v>
      </c>
      <c r="V24" s="217"/>
      <c r="W24" s="217"/>
      <c r="X24" s="217"/>
      <c r="Y24" s="217"/>
      <c r="Z24" s="217"/>
    </row>
    <row r="25" spans="1:26" s="218" customFormat="1" ht="66">
      <c r="A25" s="87">
        <v>10</v>
      </c>
      <c r="B25" s="108" t="s">
        <v>188</v>
      </c>
      <c r="C25" s="104" t="s">
        <v>189</v>
      </c>
      <c r="D25" s="109" t="s">
        <v>190</v>
      </c>
      <c r="E25" s="91">
        <f t="shared" si="6"/>
        <v>254926</v>
      </c>
      <c r="F25" s="101"/>
      <c r="G25" s="101">
        <v>2000</v>
      </c>
      <c r="H25" s="101">
        <f>254926-2000</f>
        <v>252926</v>
      </c>
      <c r="I25" s="101">
        <f>249031.708079+2000+131</f>
        <v>251162.708079</v>
      </c>
      <c r="J25" s="101">
        <v>2000</v>
      </c>
      <c r="K25" s="101">
        <v>251819</v>
      </c>
      <c r="L25" s="101">
        <v>251819</v>
      </c>
      <c r="M25" s="91">
        <f t="shared" si="4"/>
        <v>2000</v>
      </c>
      <c r="N25" s="91">
        <f t="shared" si="5"/>
        <v>2000</v>
      </c>
      <c r="O25" s="101"/>
      <c r="Q25" s="204"/>
      <c r="R25" s="204"/>
      <c r="S25" s="204"/>
      <c r="T25" s="204"/>
      <c r="U25" s="204"/>
      <c r="V25" s="204">
        <v>2000</v>
      </c>
      <c r="W25" s="204"/>
      <c r="X25" s="204"/>
      <c r="Y25" s="204"/>
      <c r="Z25" s="204"/>
    </row>
    <row r="26" spans="1:26" s="214" customFormat="1" ht="66">
      <c r="A26" s="87">
        <v>11</v>
      </c>
      <c r="B26" s="78" t="s">
        <v>248</v>
      </c>
      <c r="C26" s="104" t="s">
        <v>249</v>
      </c>
      <c r="D26" s="89" t="s">
        <v>250</v>
      </c>
      <c r="E26" s="91">
        <f t="shared" si="6"/>
        <v>41212.658000000003</v>
      </c>
      <c r="F26" s="110">
        <f>41212.658-2000</f>
        <v>39212.658000000003</v>
      </c>
      <c r="G26" s="110">
        <v>2000</v>
      </c>
      <c r="H26" s="110"/>
      <c r="I26" s="110">
        <f>30696.863288+3500+3500</f>
        <v>37696.863288</v>
      </c>
      <c r="J26" s="101">
        <v>2000</v>
      </c>
      <c r="K26" s="101">
        <f>30696.863288+3500+622.5595-787.7942</f>
        <v>34031.628588000007</v>
      </c>
      <c r="L26" s="110">
        <f>30696.863288+3500+N26</f>
        <v>36196.863288</v>
      </c>
      <c r="M26" s="110"/>
      <c r="N26" s="110">
        <v>2000</v>
      </c>
      <c r="O26" s="110"/>
      <c r="Q26" s="215"/>
      <c r="R26" s="215"/>
      <c r="S26" s="215"/>
      <c r="T26" s="215"/>
      <c r="U26" s="215"/>
      <c r="V26" s="215"/>
      <c r="W26" s="215"/>
      <c r="X26" s="215"/>
      <c r="Y26" s="215"/>
      <c r="Z26" s="215">
        <v>2000</v>
      </c>
    </row>
    <row r="27" spans="1:26" s="26" customFormat="1" ht="66">
      <c r="A27" s="87">
        <v>12</v>
      </c>
      <c r="B27" s="111" t="s">
        <v>251</v>
      </c>
      <c r="C27" s="38" t="s">
        <v>252</v>
      </c>
      <c r="D27" s="112" t="s">
        <v>253</v>
      </c>
      <c r="E27" s="91">
        <f t="shared" si="6"/>
        <v>32964.146999999997</v>
      </c>
      <c r="F27" s="113">
        <f>32964.147-5000</f>
        <v>27964.146999999997</v>
      </c>
      <c r="G27" s="113">
        <v>5000</v>
      </c>
      <c r="H27" s="113"/>
      <c r="I27" s="113">
        <f>8616+6000</f>
        <v>14616</v>
      </c>
      <c r="J27" s="113">
        <v>5000</v>
      </c>
      <c r="K27" s="113">
        <f>E27*45%</f>
        <v>14833.86615</v>
      </c>
      <c r="L27" s="113">
        <f>8616+1000+N27</f>
        <v>14616</v>
      </c>
      <c r="M27" s="113"/>
      <c r="N27" s="113">
        <f>J27</f>
        <v>5000</v>
      </c>
      <c r="O27" s="113"/>
      <c r="Q27" s="203"/>
      <c r="R27" s="203"/>
      <c r="S27" s="203"/>
      <c r="T27" s="203"/>
      <c r="U27" s="203"/>
      <c r="V27" s="203"/>
      <c r="W27" s="203"/>
      <c r="X27" s="203"/>
      <c r="Y27" s="203"/>
      <c r="Z27" s="203">
        <v>5000</v>
      </c>
    </row>
    <row r="28" spans="1:26" s="26" customFormat="1" ht="33">
      <c r="A28" s="87"/>
      <c r="B28" s="111" t="s">
        <v>793</v>
      </c>
      <c r="C28" s="38"/>
      <c r="D28" s="112"/>
      <c r="E28" s="91"/>
      <c r="F28" s="113"/>
      <c r="G28" s="113"/>
      <c r="H28" s="113"/>
      <c r="I28" s="113"/>
      <c r="J28" s="113">
        <v>1036.242</v>
      </c>
      <c r="K28" s="113"/>
      <c r="L28" s="113"/>
      <c r="M28" s="113">
        <v>1036.242</v>
      </c>
      <c r="N28" s="113">
        <v>1036.242</v>
      </c>
      <c r="O28" s="113"/>
      <c r="Q28" s="203">
        <v>800</v>
      </c>
      <c r="R28" s="203">
        <v>236.24199999999999</v>
      </c>
      <c r="S28" s="203"/>
      <c r="T28" s="203"/>
      <c r="U28" s="203"/>
      <c r="V28" s="203"/>
      <c r="W28" s="203"/>
      <c r="X28" s="203"/>
      <c r="Y28" s="203"/>
      <c r="Z28" s="203"/>
    </row>
    <row r="29" spans="1:26" s="26" customFormat="1" ht="49.5">
      <c r="A29" s="87"/>
      <c r="B29" s="111" t="s">
        <v>794</v>
      </c>
      <c r="C29" s="38"/>
      <c r="D29" s="112"/>
      <c r="E29" s="91"/>
      <c r="F29" s="113"/>
      <c r="G29" s="113"/>
      <c r="H29" s="113"/>
      <c r="I29" s="113"/>
      <c r="J29" s="113">
        <v>150</v>
      </c>
      <c r="K29" s="113"/>
      <c r="L29" s="113"/>
      <c r="M29" s="113">
        <v>150</v>
      </c>
      <c r="N29" s="113">
        <v>150</v>
      </c>
      <c r="O29" s="113"/>
      <c r="Q29" s="203">
        <v>150</v>
      </c>
      <c r="R29" s="203"/>
      <c r="S29" s="203"/>
      <c r="T29" s="203"/>
      <c r="U29" s="203"/>
      <c r="V29" s="203"/>
      <c r="W29" s="203"/>
      <c r="X29" s="203"/>
      <c r="Y29" s="203"/>
      <c r="Z29" s="203"/>
    </row>
    <row r="30" spans="1:26" s="26" customFormat="1" ht="49.5">
      <c r="A30" s="87"/>
      <c r="B30" s="111" t="s">
        <v>854</v>
      </c>
      <c r="C30" s="38"/>
      <c r="D30" s="112"/>
      <c r="E30" s="91"/>
      <c r="F30" s="113"/>
      <c r="G30" s="113"/>
      <c r="H30" s="113"/>
      <c r="I30" s="113"/>
      <c r="J30" s="113"/>
      <c r="K30" s="113"/>
      <c r="L30" s="113"/>
      <c r="M30" s="113"/>
      <c r="N30" s="113"/>
      <c r="O30" s="113"/>
      <c r="P30" s="26">
        <v>1</v>
      </c>
      <c r="Q30" s="203">
        <v>200</v>
      </c>
      <c r="R30" s="203"/>
      <c r="S30" s="203"/>
      <c r="T30" s="203"/>
      <c r="U30" s="203"/>
      <c r="V30" s="203"/>
      <c r="W30" s="203"/>
      <c r="X30" s="203"/>
      <c r="Y30" s="203"/>
      <c r="Z30" s="203"/>
    </row>
    <row r="31" spans="1:26" s="26" customFormat="1" ht="16.5">
      <c r="A31" s="87"/>
      <c r="B31" s="111" t="s">
        <v>795</v>
      </c>
      <c r="C31" s="38"/>
      <c r="D31" s="112"/>
      <c r="E31" s="91"/>
      <c r="F31" s="113"/>
      <c r="G31" s="113"/>
      <c r="H31" s="113"/>
      <c r="I31" s="113"/>
      <c r="J31" s="113">
        <v>550</v>
      </c>
      <c r="K31" s="113"/>
      <c r="L31" s="113"/>
      <c r="M31" s="113">
        <v>550</v>
      </c>
      <c r="N31" s="113">
        <v>550</v>
      </c>
      <c r="O31" s="113"/>
      <c r="Q31" s="203">
        <v>400</v>
      </c>
      <c r="R31" s="203">
        <v>150</v>
      </c>
      <c r="S31" s="203"/>
      <c r="T31" s="203"/>
      <c r="U31" s="203"/>
      <c r="V31" s="203"/>
      <c r="W31" s="203"/>
      <c r="X31" s="203"/>
      <c r="Y31" s="203"/>
      <c r="Z31" s="203"/>
    </row>
    <row r="32" spans="1:26" s="210" customFormat="1" ht="33">
      <c r="A32" s="246" t="s">
        <v>98</v>
      </c>
      <c r="B32" s="22" t="s">
        <v>335</v>
      </c>
      <c r="C32" s="23"/>
      <c r="D32" s="24"/>
      <c r="E32" s="25">
        <f>SUM(E33:E127)</f>
        <v>743037.98175500031</v>
      </c>
      <c r="F32" s="25">
        <f t="shared" ref="F32:N32" si="7">SUM(F33:F127)</f>
        <v>322381.93400000001</v>
      </c>
      <c r="G32" s="25">
        <f t="shared" si="7"/>
        <v>381116.87375500007</v>
      </c>
      <c r="H32" s="25">
        <f t="shared" si="7"/>
        <v>39539.173999999992</v>
      </c>
      <c r="I32" s="25">
        <f t="shared" si="7"/>
        <v>609770.63453999988</v>
      </c>
      <c r="J32" s="25">
        <f t="shared" si="7"/>
        <v>313153.97248500009</v>
      </c>
      <c r="K32" s="25">
        <f t="shared" si="7"/>
        <v>607948.37170435023</v>
      </c>
      <c r="L32" s="25">
        <f t="shared" si="7"/>
        <v>575922.77766435</v>
      </c>
      <c r="M32" s="25">
        <f t="shared" si="7"/>
        <v>185669.29099999994</v>
      </c>
      <c r="N32" s="25">
        <f t="shared" si="7"/>
        <v>278297.3976093501</v>
      </c>
      <c r="O32" s="211"/>
      <c r="Q32" s="82"/>
      <c r="R32" s="82"/>
      <c r="S32" s="82"/>
      <c r="T32" s="82"/>
      <c r="U32" s="82"/>
      <c r="V32" s="82"/>
      <c r="W32" s="82"/>
      <c r="X32" s="82"/>
      <c r="Y32" s="82"/>
      <c r="Z32" s="82"/>
    </row>
    <row r="33" spans="1:26" s="259" customFormat="1" ht="82.5">
      <c r="A33" s="114" t="s">
        <v>21</v>
      </c>
      <c r="B33" s="262" t="s">
        <v>126</v>
      </c>
      <c r="C33" s="114" t="s">
        <v>127</v>
      </c>
      <c r="D33" s="96" t="s">
        <v>128</v>
      </c>
      <c r="E33" s="91">
        <f t="shared" ref="E33:E64" si="8">F33+G33+H33</f>
        <v>1080.184</v>
      </c>
      <c r="F33" s="79"/>
      <c r="G33" s="79">
        <v>1080.184</v>
      </c>
      <c r="H33" s="79"/>
      <c r="I33" s="79">
        <v>977.07799999999997</v>
      </c>
      <c r="J33" s="79">
        <v>977.07799999999997</v>
      </c>
      <c r="K33" s="79">
        <v>977.07799999999997</v>
      </c>
      <c r="L33" s="79">
        <v>977.07799999999997</v>
      </c>
      <c r="M33" s="91">
        <f>J33</f>
        <v>977.07799999999997</v>
      </c>
      <c r="N33" s="91">
        <f>J33</f>
        <v>977.07799999999997</v>
      </c>
      <c r="O33" s="79"/>
      <c r="Q33" s="260"/>
      <c r="R33" s="260">
        <v>477.07799999999997</v>
      </c>
      <c r="S33" s="260"/>
      <c r="T33" s="260"/>
      <c r="U33" s="260"/>
      <c r="V33" s="260"/>
      <c r="W33" s="260"/>
      <c r="X33" s="260"/>
      <c r="Y33" s="260"/>
      <c r="Z33" s="260"/>
    </row>
    <row r="34" spans="1:26" s="259" customFormat="1" ht="66">
      <c r="A34" s="114" t="s">
        <v>28</v>
      </c>
      <c r="B34" s="262" t="s">
        <v>129</v>
      </c>
      <c r="C34" s="114" t="s">
        <v>127</v>
      </c>
      <c r="D34" s="96" t="s">
        <v>130</v>
      </c>
      <c r="E34" s="91">
        <f t="shared" si="8"/>
        <v>992.81899999999996</v>
      </c>
      <c r="F34" s="79"/>
      <c r="G34" s="79">
        <v>992.81899999999996</v>
      </c>
      <c r="H34" s="79"/>
      <c r="I34" s="79">
        <v>885.44299999999998</v>
      </c>
      <c r="J34" s="79">
        <v>885.44299999999998</v>
      </c>
      <c r="K34" s="79">
        <v>885.44299999999998</v>
      </c>
      <c r="L34" s="79">
        <v>885.44299999999998</v>
      </c>
      <c r="M34" s="91">
        <f>J34</f>
        <v>885.44299999999998</v>
      </c>
      <c r="N34" s="91">
        <f>J34</f>
        <v>885.44299999999998</v>
      </c>
      <c r="O34" s="79"/>
      <c r="Q34" s="260">
        <v>500</v>
      </c>
      <c r="R34" s="260">
        <v>385.44299999999998</v>
      </c>
      <c r="S34" s="260"/>
      <c r="T34" s="260"/>
      <c r="U34" s="260"/>
      <c r="V34" s="260"/>
      <c r="W34" s="260"/>
      <c r="X34" s="260"/>
      <c r="Y34" s="260"/>
      <c r="Z34" s="260"/>
    </row>
    <row r="35" spans="1:26" s="216" customFormat="1" ht="66">
      <c r="A35" s="114" t="s">
        <v>24</v>
      </c>
      <c r="B35" s="262" t="s">
        <v>142</v>
      </c>
      <c r="C35" s="93" t="s">
        <v>127</v>
      </c>
      <c r="D35" s="96" t="s">
        <v>143</v>
      </c>
      <c r="E35" s="91">
        <f t="shared" si="8"/>
        <v>2843</v>
      </c>
      <c r="F35" s="95">
        <f>2843-300</f>
        <v>2543</v>
      </c>
      <c r="G35" s="95">
        <v>300</v>
      </c>
      <c r="H35" s="97"/>
      <c r="I35" s="106">
        <v>2376.1350000000002</v>
      </c>
      <c r="J35" s="97">
        <v>300</v>
      </c>
      <c r="K35" s="106">
        <v>2376.1350000000002</v>
      </c>
      <c r="L35" s="106">
        <v>2376.1350000000002</v>
      </c>
      <c r="M35" s="91">
        <f>J35</f>
        <v>300</v>
      </c>
      <c r="N35" s="91">
        <f>J35</f>
        <v>300</v>
      </c>
      <c r="O35" s="97"/>
      <c r="P35" s="216">
        <v>1</v>
      </c>
      <c r="Q35" s="217"/>
      <c r="R35" s="217">
        <v>100</v>
      </c>
      <c r="S35" s="217"/>
      <c r="T35" s="217">
        <v>200</v>
      </c>
      <c r="U35" s="217"/>
      <c r="V35" s="217"/>
      <c r="W35" s="217"/>
      <c r="X35" s="217"/>
      <c r="Y35" s="217"/>
      <c r="Z35" s="217"/>
    </row>
    <row r="36" spans="1:26" s="216" customFormat="1" ht="33">
      <c r="A36" s="114"/>
      <c r="B36" s="262" t="s">
        <v>853</v>
      </c>
      <c r="C36" s="93"/>
      <c r="D36" s="96"/>
      <c r="E36" s="91"/>
      <c r="F36" s="95"/>
      <c r="G36" s="95"/>
      <c r="H36" s="97"/>
      <c r="I36" s="106"/>
      <c r="J36" s="97">
        <v>100</v>
      </c>
      <c r="K36" s="106"/>
      <c r="L36" s="106"/>
      <c r="M36" s="91">
        <v>100</v>
      </c>
      <c r="N36" s="91">
        <v>100</v>
      </c>
      <c r="O36" s="97"/>
      <c r="Q36" s="217">
        <v>100</v>
      </c>
      <c r="R36" s="217"/>
      <c r="S36" s="217"/>
      <c r="T36" s="217"/>
      <c r="U36" s="217"/>
      <c r="V36" s="217"/>
      <c r="W36" s="217"/>
      <c r="X36" s="217"/>
      <c r="Y36" s="217"/>
      <c r="Z36" s="217"/>
    </row>
    <row r="37" spans="1:26" s="83" customFormat="1" ht="66">
      <c r="A37" s="114"/>
      <c r="B37" s="58" t="s">
        <v>748</v>
      </c>
      <c r="C37" s="64">
        <v>2016</v>
      </c>
      <c r="D37" s="109" t="s">
        <v>749</v>
      </c>
      <c r="E37" s="91">
        <v>264</v>
      </c>
      <c r="F37" s="49"/>
      <c r="G37" s="164">
        <f>+E37</f>
        <v>264</v>
      </c>
      <c r="H37" s="144"/>
      <c r="I37" s="113">
        <v>238.976</v>
      </c>
      <c r="J37" s="113">
        <v>238.976</v>
      </c>
      <c r="K37" s="113">
        <v>238.976</v>
      </c>
      <c r="L37" s="113">
        <v>238.976</v>
      </c>
      <c r="M37" s="113">
        <v>238.976</v>
      </c>
      <c r="N37" s="113">
        <v>238.976</v>
      </c>
      <c r="O37" s="163"/>
      <c r="P37" s="83">
        <v>1</v>
      </c>
      <c r="Q37" s="82">
        <v>200</v>
      </c>
      <c r="R37" s="82">
        <v>38.975999999999999</v>
      </c>
      <c r="S37" s="82"/>
      <c r="T37" s="82"/>
      <c r="U37" s="82"/>
      <c r="V37" s="82"/>
      <c r="W37" s="82"/>
      <c r="X37" s="82"/>
      <c r="Y37" s="82"/>
      <c r="Z37" s="82"/>
    </row>
    <row r="38" spans="1:26" s="83" customFormat="1" ht="16.5">
      <c r="A38" s="114"/>
      <c r="B38" s="58" t="s">
        <v>797</v>
      </c>
      <c r="C38" s="64"/>
      <c r="D38" s="109"/>
      <c r="E38" s="91"/>
      <c r="F38" s="49"/>
      <c r="G38" s="164"/>
      <c r="H38" s="144"/>
      <c r="I38" s="113"/>
      <c r="J38" s="113">
        <v>100</v>
      </c>
      <c r="K38" s="113"/>
      <c r="L38" s="113"/>
      <c r="M38" s="91">
        <v>100</v>
      </c>
      <c r="N38" s="91">
        <v>100</v>
      </c>
      <c r="O38" s="97"/>
      <c r="P38" s="216">
        <v>1</v>
      </c>
      <c r="Q38" s="217">
        <v>100</v>
      </c>
      <c r="R38" s="82"/>
      <c r="S38" s="82"/>
      <c r="T38" s="82"/>
      <c r="U38" s="82"/>
      <c r="V38" s="82"/>
      <c r="W38" s="82"/>
      <c r="X38" s="82"/>
      <c r="Y38" s="82"/>
      <c r="Z38" s="82"/>
    </row>
    <row r="39" spans="1:26" s="216" customFormat="1" ht="16.5">
      <c r="A39" s="114"/>
      <c r="B39" s="262" t="s">
        <v>796</v>
      </c>
      <c r="C39" s="93"/>
      <c r="D39" s="96"/>
      <c r="E39" s="91"/>
      <c r="F39" s="95"/>
      <c r="G39" s="95"/>
      <c r="H39" s="97"/>
      <c r="I39" s="106"/>
      <c r="J39" s="97">
        <v>100</v>
      </c>
      <c r="K39" s="106"/>
      <c r="L39" s="106"/>
      <c r="M39" s="91">
        <v>100</v>
      </c>
      <c r="N39" s="91">
        <v>100</v>
      </c>
      <c r="O39" s="97"/>
      <c r="Q39" s="217">
        <v>100</v>
      </c>
      <c r="R39" s="217"/>
      <c r="S39" s="217"/>
      <c r="T39" s="217"/>
      <c r="U39" s="217"/>
      <c r="V39" s="217"/>
      <c r="W39" s="217"/>
      <c r="X39" s="217"/>
      <c r="Y39" s="217"/>
      <c r="Z39" s="217"/>
    </row>
    <row r="40" spans="1:26" s="216" customFormat="1" ht="33">
      <c r="A40" s="114"/>
      <c r="B40" s="262" t="s">
        <v>798</v>
      </c>
      <c r="C40" s="93"/>
      <c r="D40" s="96"/>
      <c r="E40" s="91"/>
      <c r="F40" s="95"/>
      <c r="G40" s="95"/>
      <c r="H40" s="97"/>
      <c r="I40" s="106"/>
      <c r="J40" s="97">
        <v>183.50800000000001</v>
      </c>
      <c r="K40" s="106"/>
      <c r="L40" s="106"/>
      <c r="M40" s="97">
        <v>183.50800000000001</v>
      </c>
      <c r="N40" s="97">
        <v>183.50800000000001</v>
      </c>
      <c r="O40" s="97"/>
      <c r="Q40" s="97"/>
      <c r="R40" s="97">
        <v>183.50800000000001</v>
      </c>
      <c r="S40" s="97"/>
      <c r="T40" s="217"/>
      <c r="U40" s="217"/>
      <c r="V40" s="217"/>
      <c r="W40" s="217"/>
      <c r="X40" s="217"/>
      <c r="Y40" s="217"/>
      <c r="Z40" s="217"/>
    </row>
    <row r="41" spans="1:26" s="27" customFormat="1" ht="66">
      <c r="A41" s="114" t="s">
        <v>25</v>
      </c>
      <c r="B41" s="115" t="s">
        <v>191</v>
      </c>
      <c r="C41" s="116" t="s">
        <v>192</v>
      </c>
      <c r="D41" s="96" t="s">
        <v>193</v>
      </c>
      <c r="E41" s="91">
        <f>F41+G41+H41</f>
        <v>212219.05900000001</v>
      </c>
      <c r="F41" s="117">
        <f>212219.059-424</f>
        <v>211795.05900000001</v>
      </c>
      <c r="G41" s="117">
        <v>424</v>
      </c>
      <c r="H41" s="117"/>
      <c r="I41" s="117">
        <f>173463.785+26+(18200-7317.028)+166</f>
        <v>184538.75700000001</v>
      </c>
      <c r="J41" s="117">
        <v>424</v>
      </c>
      <c r="K41" s="117">
        <f>195017.299*97%</f>
        <v>189166.78002999999</v>
      </c>
      <c r="L41" s="117">
        <f>173463.785+26+(18200-7317.028)+166</f>
        <v>184538.75700000001</v>
      </c>
      <c r="M41" s="124">
        <f t="shared" ref="M41:M50" si="9">J41</f>
        <v>424</v>
      </c>
      <c r="N41" s="124">
        <f t="shared" ref="N41:N52" si="10">J41</f>
        <v>424</v>
      </c>
      <c r="O41" s="117"/>
      <c r="Q41" s="204"/>
      <c r="R41" s="204"/>
      <c r="S41" s="204"/>
      <c r="T41" s="204"/>
      <c r="U41" s="204"/>
      <c r="V41" s="204"/>
      <c r="W41" s="204"/>
      <c r="X41" s="204"/>
      <c r="Y41" s="204"/>
      <c r="Z41" s="204"/>
    </row>
    <row r="42" spans="1:26" s="28" customFormat="1" ht="66">
      <c r="A42" s="114" t="s">
        <v>27</v>
      </c>
      <c r="B42" s="88" t="s">
        <v>145</v>
      </c>
      <c r="C42" s="64" t="s">
        <v>144</v>
      </c>
      <c r="D42" s="44" t="s">
        <v>146</v>
      </c>
      <c r="E42" s="91">
        <f t="shared" si="8"/>
        <v>1182.7080000000001</v>
      </c>
      <c r="F42" s="120"/>
      <c r="G42" s="120">
        <v>1182.7080000000001</v>
      </c>
      <c r="H42" s="120"/>
      <c r="I42" s="120">
        <v>1062.4559999999999</v>
      </c>
      <c r="J42" s="120">
        <v>1062.4559999999999</v>
      </c>
      <c r="K42" s="120">
        <v>1062.4559999999999</v>
      </c>
      <c r="L42" s="120">
        <v>1062.4559999999999</v>
      </c>
      <c r="M42" s="91">
        <f t="shared" si="9"/>
        <v>1062.4559999999999</v>
      </c>
      <c r="N42" s="91">
        <f t="shared" si="10"/>
        <v>1062.4559999999999</v>
      </c>
      <c r="O42" s="119"/>
      <c r="Q42" s="121"/>
      <c r="R42" s="121">
        <v>500</v>
      </c>
      <c r="S42" s="121"/>
      <c r="T42" s="121">
        <v>562.45600000000002</v>
      </c>
      <c r="U42" s="121"/>
      <c r="V42" s="121"/>
      <c r="W42" s="121"/>
      <c r="X42" s="121"/>
      <c r="Y42" s="121"/>
      <c r="Z42" s="121"/>
    </row>
    <row r="43" spans="1:26" s="28" customFormat="1" ht="66">
      <c r="A43" s="114" t="s">
        <v>47</v>
      </c>
      <c r="B43" s="88" t="s">
        <v>147</v>
      </c>
      <c r="C43" s="263" t="s">
        <v>144</v>
      </c>
      <c r="D43" s="114" t="s">
        <v>148</v>
      </c>
      <c r="E43" s="91">
        <f t="shared" si="8"/>
        <v>766.64</v>
      </c>
      <c r="F43" s="120"/>
      <c r="G43" s="120">
        <v>766.64</v>
      </c>
      <c r="H43" s="120"/>
      <c r="I43" s="91">
        <v>682.33699999999999</v>
      </c>
      <c r="J43" s="91">
        <v>682.33699999999999</v>
      </c>
      <c r="K43" s="91">
        <v>682.33699999999999</v>
      </c>
      <c r="L43" s="91">
        <v>682.33699999999999</v>
      </c>
      <c r="M43" s="91">
        <f t="shared" si="9"/>
        <v>682.33699999999999</v>
      </c>
      <c r="N43" s="91">
        <f t="shared" si="10"/>
        <v>682.33699999999999</v>
      </c>
      <c r="O43" s="113"/>
      <c r="P43" s="28">
        <v>1</v>
      </c>
      <c r="Q43" s="121"/>
      <c r="R43" s="121"/>
      <c r="S43" s="121"/>
      <c r="T43" s="121">
        <v>182</v>
      </c>
      <c r="U43" s="121"/>
      <c r="V43" s="121"/>
      <c r="W43" s="121"/>
      <c r="X43" s="121"/>
      <c r="Y43" s="121"/>
      <c r="Z43" s="121"/>
    </row>
    <row r="44" spans="1:26" s="28" customFormat="1" ht="66">
      <c r="A44" s="114" t="s">
        <v>49</v>
      </c>
      <c r="B44" s="88" t="s">
        <v>151</v>
      </c>
      <c r="C44" s="64" t="s">
        <v>144</v>
      </c>
      <c r="D44" s="44" t="s">
        <v>152</v>
      </c>
      <c r="E44" s="91">
        <f t="shared" si="8"/>
        <v>1172.681</v>
      </c>
      <c r="F44" s="124"/>
      <c r="G44" s="113">
        <v>1172.681</v>
      </c>
      <c r="H44" s="113"/>
      <c r="I44" s="101">
        <v>1105.742</v>
      </c>
      <c r="J44" s="101">
        <v>1105.742</v>
      </c>
      <c r="K44" s="101">
        <v>1105.742</v>
      </c>
      <c r="L44" s="101">
        <v>1105.742</v>
      </c>
      <c r="M44" s="91">
        <f t="shared" si="9"/>
        <v>1105.742</v>
      </c>
      <c r="N44" s="91">
        <f t="shared" si="10"/>
        <v>1105.742</v>
      </c>
      <c r="O44" s="121"/>
      <c r="Q44" s="121"/>
      <c r="R44" s="121"/>
      <c r="S44" s="121"/>
      <c r="T44" s="121">
        <v>300</v>
      </c>
      <c r="U44" s="121">
        <v>35.741999999999997</v>
      </c>
      <c r="V44" s="121"/>
      <c r="W44" s="121"/>
      <c r="X44" s="121"/>
      <c r="Y44" s="121"/>
      <c r="Z44" s="121"/>
    </row>
    <row r="45" spans="1:26" s="28" customFormat="1" ht="82.5">
      <c r="A45" s="114" t="s">
        <v>50</v>
      </c>
      <c r="B45" s="122" t="s">
        <v>153</v>
      </c>
      <c r="C45" s="64" t="s">
        <v>144</v>
      </c>
      <c r="D45" s="44" t="s">
        <v>154</v>
      </c>
      <c r="E45" s="91">
        <f t="shared" si="8"/>
        <v>2174.0770000000002</v>
      </c>
      <c r="F45" s="124">
        <v>700</v>
      </c>
      <c r="G45" s="113">
        <f>2174.077-700</f>
        <v>1474.0770000000002</v>
      </c>
      <c r="H45" s="113"/>
      <c r="I45" s="79">
        <v>2165.3560000000002</v>
      </c>
      <c r="J45" s="79">
        <f>2165.356-700</f>
        <v>1465.3560000000002</v>
      </c>
      <c r="K45" s="79">
        <v>2165.3560000000002</v>
      </c>
      <c r="L45" s="79">
        <v>2165.3560000000002</v>
      </c>
      <c r="M45" s="91">
        <f t="shared" si="9"/>
        <v>1465.3560000000002</v>
      </c>
      <c r="N45" s="91">
        <f t="shared" si="10"/>
        <v>1465.3560000000002</v>
      </c>
      <c r="O45" s="121"/>
      <c r="Q45" s="121"/>
      <c r="R45" s="121"/>
      <c r="S45" s="121"/>
      <c r="T45" s="121"/>
      <c r="U45" s="121"/>
      <c r="V45" s="121"/>
      <c r="W45" s="121"/>
      <c r="X45" s="121">
        <v>465.36500000000001</v>
      </c>
      <c r="Y45" s="121"/>
      <c r="Z45" s="121"/>
    </row>
    <row r="46" spans="1:26" s="29" customFormat="1" ht="66">
      <c r="A46" s="114" t="s">
        <v>51</v>
      </c>
      <c r="B46" s="42" t="s">
        <v>194</v>
      </c>
      <c r="C46" s="64" t="s">
        <v>144</v>
      </c>
      <c r="D46" s="123" t="s">
        <v>195</v>
      </c>
      <c r="E46" s="91">
        <f>F46+G46+H46</f>
        <v>1274.9359999999999</v>
      </c>
      <c r="F46" s="113">
        <v>700</v>
      </c>
      <c r="G46" s="113">
        <f>1274.936-F46</f>
        <v>574.93599999999992</v>
      </c>
      <c r="H46" s="124"/>
      <c r="I46" s="124">
        <v>1164.462</v>
      </c>
      <c r="J46" s="124">
        <f>1164.462-700</f>
        <v>464.46199999999999</v>
      </c>
      <c r="K46" s="124">
        <v>1164.462</v>
      </c>
      <c r="L46" s="124">
        <v>1164.462</v>
      </c>
      <c r="M46" s="124">
        <f t="shared" si="9"/>
        <v>464.46199999999999</v>
      </c>
      <c r="N46" s="124">
        <f t="shared" si="10"/>
        <v>464.46199999999999</v>
      </c>
      <c r="O46" s="117"/>
      <c r="Q46" s="206"/>
      <c r="R46" s="206"/>
      <c r="S46" s="206"/>
      <c r="T46" s="206">
        <v>300</v>
      </c>
      <c r="U46" s="206">
        <v>164.46199999999999</v>
      </c>
      <c r="V46" s="206"/>
      <c r="W46" s="206"/>
      <c r="X46" s="206"/>
      <c r="Y46" s="206"/>
      <c r="Z46" s="206"/>
    </row>
    <row r="47" spans="1:26" s="220" customFormat="1" ht="82.5">
      <c r="A47" s="114" t="s">
        <v>53</v>
      </c>
      <c r="B47" s="125" t="s">
        <v>149</v>
      </c>
      <c r="C47" s="126" t="s">
        <v>144</v>
      </c>
      <c r="D47" s="44" t="s">
        <v>150</v>
      </c>
      <c r="E47" s="91">
        <f>F47+G47+H47</f>
        <v>1075.9659999999999</v>
      </c>
      <c r="F47" s="91"/>
      <c r="G47" s="127">
        <f>1075.966-H47</f>
        <v>873.79299999999989</v>
      </c>
      <c r="H47" s="91">
        <f>1010.863-808.69</f>
        <v>202.173</v>
      </c>
      <c r="I47" s="91">
        <v>808.69</v>
      </c>
      <c r="J47" s="91">
        <v>808.69</v>
      </c>
      <c r="K47" s="91">
        <v>1010.8630000000001</v>
      </c>
      <c r="L47" s="91">
        <v>808.69</v>
      </c>
      <c r="M47" s="124">
        <f t="shared" si="9"/>
        <v>808.69</v>
      </c>
      <c r="N47" s="124">
        <f t="shared" si="10"/>
        <v>808.69</v>
      </c>
      <c r="O47" s="127" t="s">
        <v>196</v>
      </c>
      <c r="Q47" s="221"/>
      <c r="R47" s="221">
        <v>50</v>
      </c>
      <c r="S47" s="221"/>
      <c r="T47" s="221"/>
      <c r="U47" s="221"/>
      <c r="V47" s="221">
        <v>458.69</v>
      </c>
      <c r="W47" s="221"/>
      <c r="X47" s="221"/>
      <c r="Y47" s="221"/>
      <c r="Z47" s="221"/>
    </row>
    <row r="48" spans="1:26" s="29" customFormat="1" ht="66">
      <c r="A48" s="114" t="s">
        <v>55</v>
      </c>
      <c r="B48" s="128" t="s">
        <v>166</v>
      </c>
      <c r="C48" s="129" t="s">
        <v>144</v>
      </c>
      <c r="D48" s="129" t="s">
        <v>167</v>
      </c>
      <c r="E48" s="91">
        <f>F48+G48+H48</f>
        <v>4973.5249999999996</v>
      </c>
      <c r="F48" s="113">
        <f>4973.525-(1279.033+49.713)</f>
        <v>3644.7789999999995</v>
      </c>
      <c r="G48" s="113">
        <f>1279.033+49.713</f>
        <v>1328.7459999999999</v>
      </c>
      <c r="H48" s="113"/>
      <c r="I48" s="113">
        <v>3823.5250000000001</v>
      </c>
      <c r="J48" s="113">
        <f>1279.033+49.713</f>
        <v>1328.7459999999999</v>
      </c>
      <c r="K48" s="113">
        <v>3823.5250000000001</v>
      </c>
      <c r="L48" s="113">
        <v>3823.5250000000001</v>
      </c>
      <c r="M48" s="124">
        <f t="shared" si="9"/>
        <v>1328.7459999999999</v>
      </c>
      <c r="N48" s="124">
        <f t="shared" si="10"/>
        <v>1328.7459999999999</v>
      </c>
      <c r="O48" s="113"/>
      <c r="Q48" s="206"/>
      <c r="R48" s="206"/>
      <c r="S48" s="206"/>
      <c r="T48" s="206">
        <v>600</v>
      </c>
      <c r="U48" s="206">
        <v>728.476</v>
      </c>
      <c r="V48" s="206"/>
      <c r="W48" s="206"/>
      <c r="X48" s="206"/>
      <c r="Y48" s="206"/>
      <c r="Z48" s="206"/>
    </row>
    <row r="49" spans="1:26" s="83" customFormat="1" ht="66">
      <c r="A49" s="114" t="s">
        <v>56</v>
      </c>
      <c r="B49" s="115" t="s">
        <v>197</v>
      </c>
      <c r="C49" s="130" t="s">
        <v>156</v>
      </c>
      <c r="D49" s="44" t="s">
        <v>198</v>
      </c>
      <c r="E49" s="91">
        <f>F49+G49+H49</f>
        <v>26926.063999999998</v>
      </c>
      <c r="F49" s="131"/>
      <c r="G49" s="132">
        <v>4500</v>
      </c>
      <c r="H49" s="132">
        <f>26926.064-4500</f>
        <v>22426.063999999998</v>
      </c>
      <c r="I49" s="132">
        <f>23310.193-15.047</f>
        <v>23295.146000000001</v>
      </c>
      <c r="J49" s="132">
        <f>3000+1500</f>
        <v>4500</v>
      </c>
      <c r="K49" s="132">
        <f>23310.193-15.047</f>
        <v>23295.146000000001</v>
      </c>
      <c r="L49" s="132">
        <f>23310.193-15.047</f>
        <v>23295.146000000001</v>
      </c>
      <c r="M49" s="124">
        <f t="shared" si="9"/>
        <v>4500</v>
      </c>
      <c r="N49" s="124">
        <f t="shared" si="10"/>
        <v>4500</v>
      </c>
      <c r="O49" s="132"/>
      <c r="P49" s="83">
        <v>1</v>
      </c>
      <c r="Q49" s="82"/>
      <c r="R49" s="82"/>
      <c r="S49" s="82"/>
      <c r="T49" s="82"/>
      <c r="U49" s="82">
        <v>3000</v>
      </c>
      <c r="V49" s="82">
        <v>1500</v>
      </c>
      <c r="W49" s="82"/>
      <c r="X49" s="82"/>
      <c r="Y49" s="82"/>
      <c r="Z49" s="82"/>
    </row>
    <row r="50" spans="1:26" s="210" customFormat="1" ht="66">
      <c r="A50" s="114" t="s">
        <v>57</v>
      </c>
      <c r="B50" s="133" t="s">
        <v>155</v>
      </c>
      <c r="C50" s="64" t="s">
        <v>156</v>
      </c>
      <c r="D50" s="44" t="s">
        <v>157</v>
      </c>
      <c r="E50" s="91">
        <f t="shared" si="8"/>
        <v>5297.7730000000001</v>
      </c>
      <c r="F50" s="124">
        <v>1500</v>
      </c>
      <c r="G50" s="124">
        <f>5297.773-1500</f>
        <v>3797.7730000000001</v>
      </c>
      <c r="H50" s="124"/>
      <c r="I50" s="91">
        <v>5124.3329999999996</v>
      </c>
      <c r="J50" s="91">
        <f>5124.333-1500</f>
        <v>3624.3329999999996</v>
      </c>
      <c r="K50" s="91">
        <v>5124.3329999999996</v>
      </c>
      <c r="L50" s="91">
        <v>5124.3329999999996</v>
      </c>
      <c r="M50" s="91">
        <f t="shared" si="9"/>
        <v>3624.3329999999996</v>
      </c>
      <c r="N50" s="91">
        <f t="shared" si="10"/>
        <v>3624.3329999999996</v>
      </c>
      <c r="O50" s="124"/>
      <c r="Q50" s="82"/>
      <c r="R50" s="82"/>
      <c r="S50" s="82"/>
      <c r="T50" s="82">
        <v>500</v>
      </c>
      <c r="U50" s="82">
        <v>1030</v>
      </c>
      <c r="V50" s="82">
        <v>894.33299999999997</v>
      </c>
      <c r="W50" s="82"/>
      <c r="X50" s="82"/>
      <c r="Y50" s="82"/>
      <c r="Z50" s="82"/>
    </row>
    <row r="51" spans="1:26" s="210" customFormat="1" ht="66">
      <c r="A51" s="114" t="s">
        <v>58</v>
      </c>
      <c r="B51" s="133" t="s">
        <v>158</v>
      </c>
      <c r="C51" s="64" t="s">
        <v>156</v>
      </c>
      <c r="D51" s="44" t="s">
        <v>159</v>
      </c>
      <c r="E51" s="91">
        <f t="shared" si="8"/>
        <v>2828.0059999999999</v>
      </c>
      <c r="F51" s="132">
        <v>1300</v>
      </c>
      <c r="G51" s="124">
        <f>2828.006-1300</f>
        <v>1528.0059999999999</v>
      </c>
      <c r="H51" s="132"/>
      <c r="I51" s="124">
        <v>2652.5709999999999</v>
      </c>
      <c r="J51" s="124">
        <f>2652.571-1300</f>
        <v>1352.5709999999999</v>
      </c>
      <c r="K51" s="124">
        <v>2652.5709999999999</v>
      </c>
      <c r="L51" s="124">
        <v>2652.5709999999999</v>
      </c>
      <c r="M51" s="91">
        <f>J51-66.571</f>
        <v>1286</v>
      </c>
      <c r="N51" s="91">
        <f t="shared" si="10"/>
        <v>1352.5709999999999</v>
      </c>
      <c r="O51" s="134"/>
      <c r="P51" s="210">
        <v>1</v>
      </c>
      <c r="Q51" s="82"/>
      <c r="R51" s="82"/>
      <c r="S51" s="82"/>
      <c r="T51" s="82"/>
      <c r="U51" s="82"/>
      <c r="V51" s="82"/>
      <c r="W51" s="82"/>
      <c r="X51" s="82"/>
      <c r="Y51" s="82"/>
      <c r="Z51" s="82"/>
    </row>
    <row r="52" spans="1:26" s="210" customFormat="1" ht="115.5">
      <c r="A52" s="114" t="s">
        <v>59</v>
      </c>
      <c r="B52" s="135" t="s">
        <v>160</v>
      </c>
      <c r="C52" s="64" t="s">
        <v>156</v>
      </c>
      <c r="D52" s="136" t="s">
        <v>161</v>
      </c>
      <c r="E52" s="91">
        <f t="shared" si="8"/>
        <v>11372.697</v>
      </c>
      <c r="F52" s="137">
        <v>1000</v>
      </c>
      <c r="G52" s="124">
        <f>11372.697-H52-F52</f>
        <v>5560.0410000000002</v>
      </c>
      <c r="H52" s="137">
        <v>4812.6559999999999</v>
      </c>
      <c r="I52" s="124">
        <f>5009.579+382+4500</f>
        <v>9891.5789999999997</v>
      </c>
      <c r="J52" s="124">
        <f>5009.579+382-1000</f>
        <v>4391.5789999999997</v>
      </c>
      <c r="K52" s="124">
        <v>10210.790000000001</v>
      </c>
      <c r="L52" s="124">
        <f>5009.579+382+4500</f>
        <v>9891.5789999999997</v>
      </c>
      <c r="M52" s="124">
        <f>J52-382</f>
        <v>4009.5789999999997</v>
      </c>
      <c r="N52" s="91">
        <f t="shared" si="10"/>
        <v>4391.5789999999997</v>
      </c>
      <c r="O52" s="138" t="s">
        <v>328</v>
      </c>
      <c r="P52" s="210">
        <v>1</v>
      </c>
      <c r="Q52" s="82"/>
      <c r="R52" s="82"/>
      <c r="S52" s="82"/>
      <c r="T52" s="82">
        <v>2000</v>
      </c>
      <c r="U52" s="82">
        <v>1562.1969999999999</v>
      </c>
      <c r="V52" s="82"/>
      <c r="W52" s="82"/>
      <c r="X52" s="82">
        <v>139</v>
      </c>
      <c r="Y52" s="82"/>
      <c r="Z52" s="82">
        <v>382</v>
      </c>
    </row>
    <row r="53" spans="1:26" s="214" customFormat="1" ht="82.5">
      <c r="A53" s="114" t="s">
        <v>60</v>
      </c>
      <c r="B53" s="58" t="s">
        <v>786</v>
      </c>
      <c r="C53" s="64" t="s">
        <v>156</v>
      </c>
      <c r="D53" s="44" t="s">
        <v>162</v>
      </c>
      <c r="E53" s="91">
        <f t="shared" si="8"/>
        <v>3859.2719999999999</v>
      </c>
      <c r="F53" s="101"/>
      <c r="G53" s="101">
        <v>3859.2719999999999</v>
      </c>
      <c r="H53" s="101"/>
      <c r="I53" s="124">
        <v>3620.402</v>
      </c>
      <c r="J53" s="124">
        <v>3620.402</v>
      </c>
      <c r="K53" s="124">
        <v>3620.402</v>
      </c>
      <c r="L53" s="124">
        <v>3620.402</v>
      </c>
      <c r="M53" s="124">
        <v>3500</v>
      </c>
      <c r="N53" s="124">
        <v>3620.402</v>
      </c>
      <c r="O53" s="118"/>
      <c r="P53" s="214">
        <v>1</v>
      </c>
      <c r="Q53" s="215"/>
      <c r="R53" s="215"/>
      <c r="S53" s="215"/>
      <c r="T53" s="215">
        <v>500</v>
      </c>
      <c r="U53" s="215">
        <v>1000</v>
      </c>
      <c r="V53" s="215">
        <v>1000</v>
      </c>
      <c r="W53" s="215"/>
      <c r="X53" s="215"/>
      <c r="Y53" s="215"/>
      <c r="Z53" s="215">
        <v>120.402</v>
      </c>
    </row>
    <row r="54" spans="1:26" s="210" customFormat="1" ht="66">
      <c r="A54" s="114" t="s">
        <v>61</v>
      </c>
      <c r="B54" s="42" t="s">
        <v>168</v>
      </c>
      <c r="C54" s="64" t="s">
        <v>156</v>
      </c>
      <c r="D54" s="136" t="s">
        <v>169</v>
      </c>
      <c r="E54" s="91">
        <f t="shared" si="8"/>
        <v>4263.8050000000003</v>
      </c>
      <c r="F54" s="132">
        <f>2240+910</f>
        <v>3150</v>
      </c>
      <c r="G54" s="132">
        <f>4263.805-F54</f>
        <v>1113.8050000000003</v>
      </c>
      <c r="H54" s="132"/>
      <c r="I54" s="124">
        <v>3922.6434629999999</v>
      </c>
      <c r="J54" s="124">
        <f>711.995+48.005+12.643</f>
        <v>772.64300000000003</v>
      </c>
      <c r="K54" s="124">
        <v>3922.6434629999999</v>
      </c>
      <c r="L54" s="124">
        <v>3922.6434629999999</v>
      </c>
      <c r="M54" s="124">
        <f>711.995+48.005</f>
        <v>760</v>
      </c>
      <c r="N54" s="124">
        <f t="shared" ref="N54:N68" si="11">J54</f>
        <v>772.64300000000003</v>
      </c>
      <c r="O54" s="124"/>
      <c r="P54" s="210">
        <v>1</v>
      </c>
      <c r="Q54" s="82"/>
      <c r="R54" s="82"/>
      <c r="S54" s="82"/>
      <c r="T54" s="82">
        <v>300</v>
      </c>
      <c r="U54" s="82">
        <v>460</v>
      </c>
      <c r="V54" s="82"/>
      <c r="W54" s="82"/>
      <c r="X54" s="82"/>
      <c r="Y54" s="82"/>
      <c r="Z54" s="82">
        <v>12.643000000000001</v>
      </c>
    </row>
    <row r="55" spans="1:26" s="210" customFormat="1" ht="66">
      <c r="A55" s="114" t="s">
        <v>62</v>
      </c>
      <c r="B55" s="42" t="s">
        <v>170</v>
      </c>
      <c r="C55" s="64" t="s">
        <v>156</v>
      </c>
      <c r="D55" s="96" t="s">
        <v>171</v>
      </c>
      <c r="E55" s="91">
        <f t="shared" si="8"/>
        <v>2828.0059999999999</v>
      </c>
      <c r="F55" s="132">
        <f>1820+780</f>
        <v>2600</v>
      </c>
      <c r="G55" s="124">
        <f>2828.006-F55</f>
        <v>228.00599999999986</v>
      </c>
      <c r="H55" s="132"/>
      <c r="I55" s="132">
        <v>2830.5529999999999</v>
      </c>
      <c r="J55" s="132">
        <v>230.553</v>
      </c>
      <c r="K55" s="132">
        <v>2830.5529999999999</v>
      </c>
      <c r="L55" s="132">
        <v>2830.5529999999999</v>
      </c>
      <c r="M55" s="124">
        <f>J55</f>
        <v>230.553</v>
      </c>
      <c r="N55" s="124">
        <f t="shared" si="11"/>
        <v>230.553</v>
      </c>
      <c r="O55" s="264"/>
      <c r="P55" s="210">
        <v>1</v>
      </c>
      <c r="Q55" s="82"/>
      <c r="R55" s="82"/>
      <c r="S55" s="82"/>
      <c r="T55" s="82">
        <v>250</v>
      </c>
      <c r="U55" s="82"/>
      <c r="V55" s="82"/>
      <c r="W55" s="82"/>
      <c r="X55" s="82"/>
      <c r="Y55" s="82"/>
      <c r="Z55" s="82"/>
    </row>
    <row r="56" spans="1:26" s="210" customFormat="1" ht="82.5">
      <c r="A56" s="34" t="s">
        <v>329</v>
      </c>
      <c r="B56" s="139" t="s">
        <v>330</v>
      </c>
      <c r="C56" s="64" t="s">
        <v>156</v>
      </c>
      <c r="D56" s="44" t="s">
        <v>331</v>
      </c>
      <c r="E56" s="91">
        <f t="shared" si="8"/>
        <v>1019.986</v>
      </c>
      <c r="F56" s="132"/>
      <c r="G56" s="132">
        <f>1019.986-H56</f>
        <v>69.98599999999999</v>
      </c>
      <c r="H56" s="132">
        <v>950</v>
      </c>
      <c r="I56" s="132">
        <v>951.54499999999996</v>
      </c>
      <c r="J56" s="250">
        <v>1.5449999999999999</v>
      </c>
      <c r="K56" s="132">
        <v>951.54499999999996</v>
      </c>
      <c r="L56" s="132">
        <v>951.54499999999996</v>
      </c>
      <c r="M56" s="124"/>
      <c r="N56" s="251">
        <f t="shared" si="11"/>
        <v>1.5449999999999999</v>
      </c>
      <c r="O56" s="132"/>
      <c r="P56" s="198"/>
      <c r="Q56" s="53"/>
      <c r="R56" s="207"/>
      <c r="S56" s="207"/>
      <c r="T56" s="82"/>
      <c r="U56" s="82"/>
      <c r="V56" s="82"/>
      <c r="W56" s="82"/>
      <c r="X56" s="82"/>
      <c r="Y56" s="82"/>
      <c r="Z56" s="82">
        <v>1.5449999999999999</v>
      </c>
    </row>
    <row r="57" spans="1:26" s="210" customFormat="1" ht="82.5">
      <c r="A57" s="114" t="s">
        <v>63</v>
      </c>
      <c r="B57" s="133" t="s">
        <v>172</v>
      </c>
      <c r="C57" s="64" t="s">
        <v>173</v>
      </c>
      <c r="D57" s="44" t="s">
        <v>174</v>
      </c>
      <c r="E57" s="91">
        <f t="shared" si="8"/>
        <v>974.66899999999998</v>
      </c>
      <c r="F57" s="132"/>
      <c r="G57" s="132">
        <v>974.66899999999998</v>
      </c>
      <c r="H57" s="132"/>
      <c r="I57" s="132">
        <v>915.65700000000004</v>
      </c>
      <c r="J57" s="132">
        <v>915.65700000000004</v>
      </c>
      <c r="K57" s="132">
        <v>915.65700000000004</v>
      </c>
      <c r="L57" s="132">
        <v>915.65700000000004</v>
      </c>
      <c r="M57" s="124">
        <f t="shared" ref="M57:M62" si="12">J57</f>
        <v>915.65700000000004</v>
      </c>
      <c r="N57" s="124">
        <f t="shared" si="11"/>
        <v>915.65700000000004</v>
      </c>
      <c r="O57" s="132"/>
      <c r="Q57" s="82"/>
      <c r="R57" s="82"/>
      <c r="S57" s="82"/>
      <c r="T57" s="82">
        <v>700</v>
      </c>
      <c r="U57" s="82"/>
      <c r="V57" s="82">
        <v>215.65700000000001</v>
      </c>
      <c r="W57" s="82"/>
      <c r="X57" s="82"/>
      <c r="Y57" s="82"/>
      <c r="Z57" s="82"/>
    </row>
    <row r="58" spans="1:26" s="210" customFormat="1" ht="82.5">
      <c r="A58" s="114" t="s">
        <v>64</v>
      </c>
      <c r="B58" s="42" t="s">
        <v>175</v>
      </c>
      <c r="C58" s="64" t="s">
        <v>173</v>
      </c>
      <c r="D58" s="140" t="s">
        <v>176</v>
      </c>
      <c r="E58" s="91">
        <f t="shared" si="8"/>
        <v>8283.35</v>
      </c>
      <c r="F58" s="132"/>
      <c r="G58" s="132">
        <v>8283.35</v>
      </c>
      <c r="H58" s="132"/>
      <c r="I58" s="124">
        <v>7481.723</v>
      </c>
      <c r="J58" s="124">
        <v>7481.723</v>
      </c>
      <c r="K58" s="124">
        <v>7481.723</v>
      </c>
      <c r="L58" s="124">
        <v>7481.723</v>
      </c>
      <c r="M58" s="124">
        <f t="shared" si="12"/>
        <v>7481.723</v>
      </c>
      <c r="N58" s="124">
        <f t="shared" si="11"/>
        <v>7481.723</v>
      </c>
      <c r="O58" s="132"/>
      <c r="Q58" s="82"/>
      <c r="R58" s="82"/>
      <c r="S58" s="82"/>
      <c r="T58" s="82">
        <v>2000</v>
      </c>
      <c r="U58" s="82">
        <v>2000</v>
      </c>
      <c r="V58" s="82">
        <v>3482</v>
      </c>
      <c r="W58" s="82"/>
      <c r="X58" s="82"/>
      <c r="Y58" s="82"/>
      <c r="Z58" s="82"/>
    </row>
    <row r="59" spans="1:26" s="222" customFormat="1" ht="82.5">
      <c r="A59" s="114" t="s">
        <v>65</v>
      </c>
      <c r="B59" s="141" t="s">
        <v>177</v>
      </c>
      <c r="C59" s="104" t="s">
        <v>173</v>
      </c>
      <c r="D59" s="142" t="s">
        <v>178</v>
      </c>
      <c r="E59" s="91">
        <f t="shared" si="8"/>
        <v>1292.011</v>
      </c>
      <c r="F59" s="143"/>
      <c r="G59" s="143">
        <v>390.05700000000002</v>
      </c>
      <c r="H59" s="143">
        <f>1291.954-390</f>
        <v>901.95399999999995</v>
      </c>
      <c r="I59" s="101">
        <v>1140</v>
      </c>
      <c r="J59" s="101">
        <v>390</v>
      </c>
      <c r="K59" s="101">
        <v>1140.057</v>
      </c>
      <c r="L59" s="101">
        <v>1140</v>
      </c>
      <c r="M59" s="124">
        <f t="shared" si="12"/>
        <v>390</v>
      </c>
      <c r="N59" s="124">
        <f t="shared" si="11"/>
        <v>390</v>
      </c>
      <c r="O59" s="143"/>
      <c r="Q59" s="223"/>
      <c r="R59" s="223"/>
      <c r="S59" s="223"/>
      <c r="T59" s="223"/>
      <c r="U59" s="223">
        <v>390</v>
      </c>
      <c r="V59" s="223"/>
      <c r="W59" s="223"/>
      <c r="X59" s="223"/>
      <c r="Y59" s="223"/>
      <c r="Z59" s="223"/>
    </row>
    <row r="60" spans="1:26" s="222" customFormat="1" ht="66">
      <c r="A60" s="114" t="s">
        <v>66</v>
      </c>
      <c r="B60" s="108" t="s">
        <v>179</v>
      </c>
      <c r="C60" s="104" t="s">
        <v>173</v>
      </c>
      <c r="D60" s="109" t="s">
        <v>180</v>
      </c>
      <c r="E60" s="91">
        <f t="shared" si="8"/>
        <v>1489.6959999999999</v>
      </c>
      <c r="F60" s="144">
        <v>500</v>
      </c>
      <c r="G60" s="144">
        <f>1489.696-500</f>
        <v>989.69599999999991</v>
      </c>
      <c r="H60" s="101"/>
      <c r="I60" s="95">
        <v>1306.655</v>
      </c>
      <c r="J60" s="95">
        <f>1306.655-500</f>
        <v>806.65499999999997</v>
      </c>
      <c r="K60" s="95">
        <v>1306.655</v>
      </c>
      <c r="L60" s="95">
        <v>1306.655</v>
      </c>
      <c r="M60" s="124">
        <f t="shared" si="12"/>
        <v>806.65499999999997</v>
      </c>
      <c r="N60" s="124">
        <f t="shared" si="11"/>
        <v>806.65499999999997</v>
      </c>
      <c r="O60" s="101"/>
      <c r="Q60" s="223"/>
      <c r="R60" s="223"/>
      <c r="S60" s="223"/>
      <c r="T60" s="223"/>
      <c r="U60" s="223"/>
      <c r="V60" s="223">
        <v>340</v>
      </c>
      <c r="W60" s="223"/>
      <c r="X60" s="223">
        <v>466.65499999999997</v>
      </c>
      <c r="Y60" s="223"/>
      <c r="Z60" s="223"/>
    </row>
    <row r="61" spans="1:26" s="222" customFormat="1" ht="66">
      <c r="A61" s="114" t="s">
        <v>67</v>
      </c>
      <c r="B61" s="42" t="s">
        <v>181</v>
      </c>
      <c r="C61" s="64" t="s">
        <v>173</v>
      </c>
      <c r="D61" s="96" t="s">
        <v>182</v>
      </c>
      <c r="E61" s="91">
        <f t="shared" si="8"/>
        <v>25968.096000000001</v>
      </c>
      <c r="F61" s="107">
        <f>25968.096-5000</f>
        <v>20968.096000000001</v>
      </c>
      <c r="G61" s="107">
        <v>5000</v>
      </c>
      <c r="H61" s="107"/>
      <c r="I61" s="144">
        <f>24169.384-50.279408</f>
        <v>24119.104592</v>
      </c>
      <c r="J61" s="144">
        <v>5000</v>
      </c>
      <c r="K61" s="144">
        <f>24169.384-50.279408</f>
        <v>24119.104592</v>
      </c>
      <c r="L61" s="144">
        <f>24169.384-50.279408</f>
        <v>24119.104592</v>
      </c>
      <c r="M61" s="124">
        <f t="shared" si="12"/>
        <v>5000</v>
      </c>
      <c r="N61" s="124">
        <f t="shared" si="11"/>
        <v>5000</v>
      </c>
      <c r="O61" s="101"/>
      <c r="Q61" s="223"/>
      <c r="R61" s="223"/>
      <c r="S61" s="223"/>
      <c r="T61" s="223"/>
      <c r="U61" s="223">
        <v>3000</v>
      </c>
      <c r="V61" s="223">
        <v>2000</v>
      </c>
      <c r="W61" s="223"/>
      <c r="X61" s="223"/>
      <c r="Y61" s="223"/>
      <c r="Z61" s="223"/>
    </row>
    <row r="62" spans="1:26" s="222" customFormat="1" ht="66">
      <c r="A62" s="114" t="s">
        <v>68</v>
      </c>
      <c r="B62" s="108" t="s">
        <v>183</v>
      </c>
      <c r="C62" s="104" t="s">
        <v>173</v>
      </c>
      <c r="D62" s="109" t="s">
        <v>184</v>
      </c>
      <c r="E62" s="91">
        <f t="shared" si="8"/>
        <v>4180.4070000000002</v>
      </c>
      <c r="F62" s="144"/>
      <c r="G62" s="144">
        <v>4180.4070000000002</v>
      </c>
      <c r="H62" s="101"/>
      <c r="I62" s="195">
        <v>4017.8270000000002</v>
      </c>
      <c r="J62" s="195">
        <v>4017.8270000000002</v>
      </c>
      <c r="K62" s="195">
        <v>4017.8270000000002</v>
      </c>
      <c r="L62" s="195">
        <v>4017.8270000000002</v>
      </c>
      <c r="M62" s="124">
        <f t="shared" si="12"/>
        <v>4017.8270000000002</v>
      </c>
      <c r="N62" s="124">
        <f t="shared" si="11"/>
        <v>4017.8270000000002</v>
      </c>
      <c r="O62" s="101"/>
      <c r="P62" s="222">
        <v>1</v>
      </c>
      <c r="Q62" s="223"/>
      <c r="R62" s="223"/>
      <c r="S62" s="223"/>
      <c r="T62" s="223"/>
      <c r="U62" s="223">
        <v>486</v>
      </c>
      <c r="V62" s="223">
        <v>2000</v>
      </c>
      <c r="W62" s="223"/>
      <c r="X62" s="223"/>
      <c r="Y62" s="223">
        <v>517.827</v>
      </c>
      <c r="Z62" s="223">
        <v>66.570999999999998</v>
      </c>
    </row>
    <row r="63" spans="1:26" s="214" customFormat="1" ht="66">
      <c r="A63" s="114" t="s">
        <v>69</v>
      </c>
      <c r="B63" s="42" t="s">
        <v>201</v>
      </c>
      <c r="C63" s="145" t="s">
        <v>173</v>
      </c>
      <c r="D63" s="146" t="s">
        <v>202</v>
      </c>
      <c r="E63" s="91">
        <f>F63+G63+H63</f>
        <v>2767</v>
      </c>
      <c r="F63" s="147">
        <v>1000</v>
      </c>
      <c r="G63" s="124">
        <f>2767-F63</f>
        <v>1767</v>
      </c>
      <c r="H63" s="124"/>
      <c r="I63" s="124">
        <v>2641.3870000000002</v>
      </c>
      <c r="J63" s="124">
        <f>2641.387-1000</f>
        <v>1641.3870000000002</v>
      </c>
      <c r="K63" s="124">
        <v>2641.3870000000002</v>
      </c>
      <c r="L63" s="124">
        <v>2641.3870000000002</v>
      </c>
      <c r="M63" s="124">
        <v>1500</v>
      </c>
      <c r="N63" s="124">
        <f t="shared" si="11"/>
        <v>1641.3870000000002</v>
      </c>
      <c r="O63" s="124"/>
      <c r="Q63" s="215"/>
      <c r="R63" s="215"/>
      <c r="S63" s="215"/>
      <c r="T63" s="215"/>
      <c r="U63" s="215"/>
      <c r="V63" s="215">
        <v>1500</v>
      </c>
      <c r="W63" s="215"/>
      <c r="X63" s="215"/>
      <c r="Y63" s="215"/>
      <c r="Z63" s="215">
        <v>141.387</v>
      </c>
    </row>
    <row r="64" spans="1:26" s="222" customFormat="1" ht="82.5">
      <c r="A64" s="114" t="s">
        <v>70</v>
      </c>
      <c r="B64" s="148" t="s">
        <v>185</v>
      </c>
      <c r="C64" s="149" t="s">
        <v>186</v>
      </c>
      <c r="D64" s="109" t="s">
        <v>187</v>
      </c>
      <c r="E64" s="91">
        <f t="shared" si="8"/>
        <v>787.23900000000003</v>
      </c>
      <c r="F64" s="144"/>
      <c r="G64" s="144">
        <v>787.23900000000003</v>
      </c>
      <c r="H64" s="144"/>
      <c r="I64" s="101">
        <v>673.02200000000005</v>
      </c>
      <c r="J64" s="101">
        <v>673.02200000000005</v>
      </c>
      <c r="K64" s="101">
        <v>673.02200000000005</v>
      </c>
      <c r="L64" s="101">
        <v>673.02200000000005</v>
      </c>
      <c r="M64" s="124">
        <f>J64</f>
        <v>673.02200000000005</v>
      </c>
      <c r="N64" s="124">
        <f t="shared" si="11"/>
        <v>673.02200000000005</v>
      </c>
      <c r="O64" s="150"/>
      <c r="Q64" s="223"/>
      <c r="R64" s="223"/>
      <c r="S64" s="223"/>
      <c r="T64" s="223"/>
      <c r="U64" s="223">
        <v>700</v>
      </c>
      <c r="V64" s="223"/>
      <c r="W64" s="223"/>
      <c r="X64" s="223"/>
      <c r="Y64" s="223"/>
      <c r="Z64" s="223"/>
    </row>
    <row r="65" spans="1:26" s="214" customFormat="1" ht="66">
      <c r="A65" s="114" t="s">
        <v>71</v>
      </c>
      <c r="B65" s="58" t="s">
        <v>199</v>
      </c>
      <c r="C65" s="104" t="s">
        <v>186</v>
      </c>
      <c r="D65" s="46" t="s">
        <v>200</v>
      </c>
      <c r="E65" s="91">
        <f t="shared" ref="E65:E112" si="13">F65+G65+H65</f>
        <v>8854</v>
      </c>
      <c r="F65" s="101"/>
      <c r="G65" s="101">
        <v>8854</v>
      </c>
      <c r="H65" s="101"/>
      <c r="I65" s="101">
        <v>8000</v>
      </c>
      <c r="J65" s="101">
        <v>8000</v>
      </c>
      <c r="K65" s="101">
        <v>8195.3379999999997</v>
      </c>
      <c r="L65" s="101">
        <v>8000</v>
      </c>
      <c r="M65" s="124">
        <v>7500</v>
      </c>
      <c r="N65" s="124">
        <f t="shared" si="11"/>
        <v>8000</v>
      </c>
      <c r="O65" s="101"/>
      <c r="Q65" s="215"/>
      <c r="R65" s="215"/>
      <c r="S65" s="215"/>
      <c r="T65" s="215"/>
      <c r="U65" s="215"/>
      <c r="V65" s="215">
        <v>7500</v>
      </c>
      <c r="W65" s="215"/>
      <c r="X65" s="215"/>
      <c r="Y65" s="215"/>
      <c r="Z65" s="215">
        <v>500</v>
      </c>
    </row>
    <row r="66" spans="1:26" s="210" customFormat="1" ht="66">
      <c r="A66" s="114" t="s">
        <v>72</v>
      </c>
      <c r="B66" s="108" t="s">
        <v>203</v>
      </c>
      <c r="C66" s="64" t="s">
        <v>186</v>
      </c>
      <c r="D66" s="109" t="s">
        <v>204</v>
      </c>
      <c r="E66" s="91">
        <f t="shared" si="13"/>
        <v>10108.558000000001</v>
      </c>
      <c r="F66" s="144">
        <v>2500</v>
      </c>
      <c r="G66" s="144">
        <f>10108.558-F66</f>
        <v>7608.5580000000009</v>
      </c>
      <c r="H66" s="101"/>
      <c r="I66" s="101">
        <f>2500+1800+2850</f>
        <v>7150</v>
      </c>
      <c r="J66" s="101">
        <f>2500+1800+2850</f>
        <v>7150</v>
      </c>
      <c r="K66" s="132">
        <f>G66*75%</f>
        <v>5706.4185000000007</v>
      </c>
      <c r="L66" s="101">
        <f>2500+1800+2850</f>
        <v>7150</v>
      </c>
      <c r="M66" s="124">
        <v>7094.067</v>
      </c>
      <c r="N66" s="124">
        <f t="shared" si="11"/>
        <v>7150</v>
      </c>
      <c r="O66" s="101"/>
      <c r="Q66" s="82"/>
      <c r="R66" s="82"/>
      <c r="S66" s="82"/>
      <c r="T66" s="82"/>
      <c r="U66" s="82"/>
      <c r="V66" s="82">
        <v>1800</v>
      </c>
      <c r="W66" s="82"/>
      <c r="X66" s="82"/>
      <c r="Y66" s="82"/>
      <c r="Z66" s="82"/>
    </row>
    <row r="67" spans="1:26" s="210" customFormat="1" ht="82.5">
      <c r="A67" s="114" t="s">
        <v>73</v>
      </c>
      <c r="B67" s="151" t="s">
        <v>208</v>
      </c>
      <c r="C67" s="64" t="s">
        <v>186</v>
      </c>
      <c r="D67" s="109" t="s">
        <v>209</v>
      </c>
      <c r="E67" s="91">
        <f t="shared" si="13"/>
        <v>3845.587</v>
      </c>
      <c r="F67" s="144">
        <v>2000</v>
      </c>
      <c r="G67" s="144">
        <f>3845.587-F67</f>
        <v>1845.587</v>
      </c>
      <c r="H67" s="144"/>
      <c r="I67" s="144">
        <v>3633.6190000000001</v>
      </c>
      <c r="J67" s="144">
        <f>3633.619-2000</f>
        <v>1633.6190000000001</v>
      </c>
      <c r="K67" s="144">
        <v>3633.6190000000001</v>
      </c>
      <c r="L67" s="144">
        <v>3633.6190000000001</v>
      </c>
      <c r="M67" s="124">
        <f>J67</f>
        <v>1633.6190000000001</v>
      </c>
      <c r="N67" s="124">
        <f t="shared" si="11"/>
        <v>1633.6190000000001</v>
      </c>
      <c r="O67" s="144"/>
      <c r="P67" s="210">
        <v>1</v>
      </c>
      <c r="Q67" s="82"/>
      <c r="R67" s="82"/>
      <c r="S67" s="82"/>
      <c r="T67" s="82"/>
      <c r="U67" s="82"/>
      <c r="V67" s="82">
        <v>1500</v>
      </c>
      <c r="W67" s="82">
        <v>133</v>
      </c>
      <c r="X67" s="82"/>
      <c r="Y67" s="82"/>
      <c r="Z67" s="82">
        <v>1400</v>
      </c>
    </row>
    <row r="68" spans="1:26" s="220" customFormat="1" ht="66">
      <c r="A68" s="114" t="s">
        <v>75</v>
      </c>
      <c r="B68" s="125" t="s">
        <v>210</v>
      </c>
      <c r="C68" s="126" t="s">
        <v>186</v>
      </c>
      <c r="D68" s="152" t="s">
        <v>211</v>
      </c>
      <c r="E68" s="91">
        <f t="shared" si="13"/>
        <v>5118</v>
      </c>
      <c r="F68" s="127"/>
      <c r="G68" s="127">
        <v>5118</v>
      </c>
      <c r="H68" s="127"/>
      <c r="I68" s="127">
        <v>4500</v>
      </c>
      <c r="J68" s="127">
        <v>4500</v>
      </c>
      <c r="K68" s="127">
        <v>4825.1719999999996</v>
      </c>
      <c r="L68" s="127">
        <v>4500</v>
      </c>
      <c r="M68" s="124">
        <f>I68</f>
        <v>4500</v>
      </c>
      <c r="N68" s="124">
        <f t="shared" si="11"/>
        <v>4500</v>
      </c>
      <c r="O68" s="127"/>
      <c r="Q68" s="221"/>
      <c r="R68" s="221"/>
      <c r="S68" s="221"/>
      <c r="T68" s="221"/>
      <c r="U68" s="221"/>
      <c r="V68" s="221">
        <v>4500</v>
      </c>
      <c r="W68" s="221"/>
      <c r="X68" s="221"/>
      <c r="Y68" s="221"/>
      <c r="Z68" s="221"/>
    </row>
    <row r="69" spans="1:26" s="224" customFormat="1" ht="66">
      <c r="A69" s="114" t="s">
        <v>76</v>
      </c>
      <c r="B69" s="153" t="s">
        <v>205</v>
      </c>
      <c r="C69" s="154" t="s">
        <v>206</v>
      </c>
      <c r="D69" s="109" t="s">
        <v>207</v>
      </c>
      <c r="E69" s="91">
        <f>F69+G69+H69</f>
        <v>5407.8059999999996</v>
      </c>
      <c r="F69" s="113">
        <f>5407.806-G69</f>
        <v>3499.9999999999995</v>
      </c>
      <c r="G69" s="113">
        <f>1500+407.806</f>
        <v>1907.806</v>
      </c>
      <c r="H69" s="113"/>
      <c r="I69" s="113">
        <v>4995.1350000000002</v>
      </c>
      <c r="J69" s="113">
        <f>4995.135-3500</f>
        <v>1495.1350000000002</v>
      </c>
      <c r="K69" s="113">
        <v>4995.1350000000002</v>
      </c>
      <c r="L69" s="113">
        <v>4995.1350000000002</v>
      </c>
      <c r="M69" s="101">
        <v>940</v>
      </c>
      <c r="N69" s="113">
        <f>4995.135-3500</f>
        <v>1495.1350000000002</v>
      </c>
      <c r="O69" s="113"/>
      <c r="Q69" s="332"/>
      <c r="R69" s="332"/>
      <c r="S69" s="332"/>
      <c r="T69" s="332"/>
      <c r="U69" s="332"/>
      <c r="V69" s="332">
        <v>894.57799999999997</v>
      </c>
      <c r="W69" s="332"/>
      <c r="X69" s="332"/>
      <c r="Y69" s="332"/>
      <c r="Z69" s="332">
        <v>407.80599999999998</v>
      </c>
    </row>
    <row r="70" spans="1:26" s="30" customFormat="1" ht="82.5">
      <c r="A70" s="114" t="s">
        <v>77</v>
      </c>
      <c r="B70" s="155" t="s">
        <v>212</v>
      </c>
      <c r="C70" s="156" t="s">
        <v>206</v>
      </c>
      <c r="D70" s="109" t="s">
        <v>213</v>
      </c>
      <c r="E70" s="91">
        <f t="shared" si="13"/>
        <v>2041.2760000000001</v>
      </c>
      <c r="F70" s="144"/>
      <c r="G70" s="124">
        <v>2041.2760000000001</v>
      </c>
      <c r="H70" s="124"/>
      <c r="I70" s="124">
        <v>1815.1780000000001</v>
      </c>
      <c r="J70" s="124">
        <v>1815.1780000000001</v>
      </c>
      <c r="K70" s="124">
        <v>1815.1780000000001</v>
      </c>
      <c r="L70" s="124">
        <v>1815.1780000000001</v>
      </c>
      <c r="M70" s="124">
        <v>1800</v>
      </c>
      <c r="N70" s="124">
        <f t="shared" ref="N70:N75" si="14">J70</f>
        <v>1815.1780000000001</v>
      </c>
      <c r="O70" s="124"/>
      <c r="Q70" s="48"/>
      <c r="R70" s="48"/>
      <c r="S70" s="48"/>
      <c r="T70" s="48"/>
      <c r="U70" s="48"/>
      <c r="V70" s="48"/>
      <c r="W70" s="48"/>
      <c r="X70" s="48"/>
      <c r="Y70" s="48"/>
      <c r="Z70" s="48">
        <v>15.176</v>
      </c>
    </row>
    <row r="71" spans="1:26" s="222" customFormat="1" ht="66">
      <c r="A71" s="114" t="s">
        <v>78</v>
      </c>
      <c r="B71" s="151" t="s">
        <v>214</v>
      </c>
      <c r="C71" s="158" t="s">
        <v>206</v>
      </c>
      <c r="D71" s="109" t="s">
        <v>215</v>
      </c>
      <c r="E71" s="91">
        <f t="shared" si="13"/>
        <v>3749</v>
      </c>
      <c r="F71" s="144">
        <v>2000</v>
      </c>
      <c r="G71" s="144">
        <f>3749-F71</f>
        <v>1749</v>
      </c>
      <c r="H71" s="101"/>
      <c r="I71" s="101">
        <f>3500+11.621</f>
        <v>3511.6210000000001</v>
      </c>
      <c r="J71" s="101">
        <f>3500+11.621-2000</f>
        <v>1511.6210000000001</v>
      </c>
      <c r="K71" s="101">
        <v>3512.6039999999998</v>
      </c>
      <c r="L71" s="101">
        <f>3500+11.621</f>
        <v>3511.6210000000001</v>
      </c>
      <c r="M71" s="101">
        <v>1500</v>
      </c>
      <c r="N71" s="124">
        <f t="shared" si="14"/>
        <v>1511.6210000000001</v>
      </c>
      <c r="O71" s="101"/>
      <c r="Q71" s="223"/>
      <c r="R71" s="223"/>
      <c r="S71" s="223"/>
      <c r="T71" s="223"/>
      <c r="U71" s="223"/>
      <c r="V71" s="223">
        <v>1415.5909999999999</v>
      </c>
      <c r="W71" s="223"/>
      <c r="X71" s="223"/>
      <c r="Y71" s="223"/>
      <c r="Z71" s="223">
        <v>11.621</v>
      </c>
    </row>
    <row r="72" spans="1:26" s="214" customFormat="1" ht="66">
      <c r="A72" s="114" t="s">
        <v>79</v>
      </c>
      <c r="B72" s="78" t="s">
        <v>216</v>
      </c>
      <c r="C72" s="104" t="s">
        <v>206</v>
      </c>
      <c r="D72" s="46" t="s">
        <v>217</v>
      </c>
      <c r="E72" s="91">
        <f t="shared" si="13"/>
        <v>6075.0240000000003</v>
      </c>
      <c r="F72" s="101"/>
      <c r="G72" s="101">
        <f>6075.024</f>
        <v>6075.0240000000003</v>
      </c>
      <c r="H72" s="101"/>
      <c r="I72" s="101">
        <f>4300+1300</f>
        <v>5600</v>
      </c>
      <c r="J72" s="101">
        <f>4300+1300</f>
        <v>5600</v>
      </c>
      <c r="K72" s="101">
        <v>5606.8289999999997</v>
      </c>
      <c r="L72" s="101">
        <f>4300+1300</f>
        <v>5600</v>
      </c>
      <c r="M72" s="101">
        <f>4300+1180.01</f>
        <v>5480.01</v>
      </c>
      <c r="N72" s="124">
        <f t="shared" si="14"/>
        <v>5600</v>
      </c>
      <c r="O72" s="101"/>
      <c r="P72" s="214">
        <v>1</v>
      </c>
      <c r="Q72" s="215"/>
      <c r="R72" s="215"/>
      <c r="S72" s="215"/>
      <c r="T72" s="215"/>
      <c r="U72" s="215"/>
      <c r="V72" s="215">
        <v>1599.222</v>
      </c>
      <c r="W72" s="215"/>
      <c r="X72" s="215"/>
      <c r="Y72" s="215">
        <v>1300</v>
      </c>
      <c r="Z72" s="215"/>
    </row>
    <row r="73" spans="1:26" s="222" customFormat="1" ht="66">
      <c r="A73" s="114" t="s">
        <v>80</v>
      </c>
      <c r="B73" s="78" t="s">
        <v>218</v>
      </c>
      <c r="C73" s="104" t="s">
        <v>206</v>
      </c>
      <c r="D73" s="46" t="s">
        <v>220</v>
      </c>
      <c r="E73" s="91">
        <f t="shared" si="13"/>
        <v>7365.9660000000003</v>
      </c>
      <c r="F73" s="101">
        <v>2500</v>
      </c>
      <c r="G73" s="101">
        <f>5565.966-F46</f>
        <v>4865.9660000000003</v>
      </c>
      <c r="H73" s="101"/>
      <c r="I73" s="101">
        <f>2500+2500</f>
        <v>5000</v>
      </c>
      <c r="J73" s="101">
        <v>2500</v>
      </c>
      <c r="K73" s="101">
        <v>5106</v>
      </c>
      <c r="L73" s="101">
        <f>2500+2500</f>
        <v>5000</v>
      </c>
      <c r="M73" s="101">
        <v>1980</v>
      </c>
      <c r="N73" s="124">
        <f t="shared" si="14"/>
        <v>2500</v>
      </c>
      <c r="O73" s="101"/>
      <c r="P73" s="222">
        <v>1</v>
      </c>
      <c r="Q73" s="223"/>
      <c r="R73" s="223"/>
      <c r="S73" s="223"/>
      <c r="T73" s="223"/>
      <c r="U73" s="223"/>
      <c r="V73" s="223">
        <v>2500</v>
      </c>
      <c r="W73" s="223"/>
      <c r="X73" s="223"/>
      <c r="Y73" s="223"/>
      <c r="Z73" s="223">
        <v>2700</v>
      </c>
    </row>
    <row r="74" spans="1:26" s="214" customFormat="1" ht="66">
      <c r="A74" s="114" t="s">
        <v>81</v>
      </c>
      <c r="B74" s="78" t="s">
        <v>221</v>
      </c>
      <c r="C74" s="104" t="s">
        <v>206</v>
      </c>
      <c r="D74" s="46" t="s">
        <v>222</v>
      </c>
      <c r="E74" s="91">
        <f t="shared" si="13"/>
        <v>3708.585</v>
      </c>
      <c r="F74" s="101"/>
      <c r="G74" s="101">
        <v>3708.585</v>
      </c>
      <c r="H74" s="101"/>
      <c r="I74" s="101">
        <f>2280+1200</f>
        <v>3480</v>
      </c>
      <c r="J74" s="101">
        <f>2280+1200</f>
        <v>3480</v>
      </c>
      <c r="K74" s="101">
        <f>E74*97%</f>
        <v>3597.3274499999998</v>
      </c>
      <c r="L74" s="101">
        <f>2280+1200</f>
        <v>3480</v>
      </c>
      <c r="M74" s="101">
        <v>2280</v>
      </c>
      <c r="N74" s="124">
        <f t="shared" si="14"/>
        <v>3480</v>
      </c>
      <c r="O74" s="101"/>
      <c r="Q74" s="215"/>
      <c r="R74" s="215"/>
      <c r="S74" s="215"/>
      <c r="T74" s="215"/>
      <c r="U74" s="215"/>
      <c r="V74" s="215">
        <v>2280</v>
      </c>
      <c r="W74" s="215"/>
      <c r="X74" s="215"/>
      <c r="Y74" s="215"/>
      <c r="Z74" s="215">
        <v>1200</v>
      </c>
    </row>
    <row r="75" spans="1:26" s="214" customFormat="1" ht="82.5">
      <c r="A75" s="114" t="s">
        <v>82</v>
      </c>
      <c r="B75" s="78" t="s">
        <v>223</v>
      </c>
      <c r="C75" s="104" t="s">
        <v>206</v>
      </c>
      <c r="D75" s="46" t="s">
        <v>224</v>
      </c>
      <c r="E75" s="91">
        <f t="shared" si="13"/>
        <v>10741.948899999999</v>
      </c>
      <c r="F75" s="101">
        <v>2500</v>
      </c>
      <c r="G75" s="101">
        <f>10741.9489-F75</f>
        <v>8241.9488999999994</v>
      </c>
      <c r="H75" s="101"/>
      <c r="I75" s="144">
        <v>10010.279</v>
      </c>
      <c r="J75" s="144">
        <f>10010.279-2500</f>
        <v>7510.2790000000005</v>
      </c>
      <c r="K75" s="144">
        <v>10010.279</v>
      </c>
      <c r="L75" s="144">
        <v>10010.279</v>
      </c>
      <c r="M75" s="101">
        <f>9578-2500</f>
        <v>7078</v>
      </c>
      <c r="N75" s="124">
        <f t="shared" si="14"/>
        <v>7510.2790000000005</v>
      </c>
      <c r="O75" s="101"/>
      <c r="Q75" s="215"/>
      <c r="R75" s="215"/>
      <c r="S75" s="215"/>
      <c r="T75" s="215"/>
      <c r="U75" s="215"/>
      <c r="V75" s="215">
        <f>474+4000</f>
        <v>4474</v>
      </c>
      <c r="W75" s="215"/>
      <c r="X75" s="215"/>
      <c r="Y75" s="215">
        <v>4878</v>
      </c>
      <c r="Z75" s="215">
        <v>436.779</v>
      </c>
    </row>
    <row r="76" spans="1:26" s="220" customFormat="1" ht="66">
      <c r="A76" s="114" t="s">
        <v>83</v>
      </c>
      <c r="B76" s="159" t="s">
        <v>225</v>
      </c>
      <c r="C76" s="104" t="s">
        <v>206</v>
      </c>
      <c r="D76" s="152" t="s">
        <v>226</v>
      </c>
      <c r="E76" s="91">
        <f t="shared" si="13"/>
        <v>4296.2910000000002</v>
      </c>
      <c r="F76" s="127"/>
      <c r="G76" s="127">
        <v>4296.2910000000002</v>
      </c>
      <c r="H76" s="127"/>
      <c r="I76" s="127">
        <v>4273.5119999999997</v>
      </c>
      <c r="J76" s="127">
        <v>4273.5119999999997</v>
      </c>
      <c r="K76" s="127">
        <v>4273.5119999999997</v>
      </c>
      <c r="L76" s="127">
        <f>K76</f>
        <v>4273.5119999999997</v>
      </c>
      <c r="M76" s="127">
        <f>528.867+2300</f>
        <v>2828.8670000000002</v>
      </c>
      <c r="N76" s="127">
        <f>K76</f>
        <v>4273.5119999999997</v>
      </c>
      <c r="O76" s="127"/>
      <c r="Q76" s="221"/>
      <c r="R76" s="221"/>
      <c r="S76" s="221"/>
      <c r="T76" s="221"/>
      <c r="U76" s="221"/>
      <c r="V76" s="221">
        <v>2300</v>
      </c>
      <c r="W76" s="221"/>
      <c r="X76" s="221"/>
      <c r="Y76" s="221"/>
      <c r="Z76" s="221"/>
    </row>
    <row r="77" spans="1:26" s="222" customFormat="1" ht="66">
      <c r="A77" s="114" t="s">
        <v>84</v>
      </c>
      <c r="B77" s="108" t="s">
        <v>227</v>
      </c>
      <c r="C77" s="158" t="s">
        <v>206</v>
      </c>
      <c r="D77" s="109" t="s">
        <v>228</v>
      </c>
      <c r="E77" s="91">
        <f t="shared" si="13"/>
        <v>1840.623</v>
      </c>
      <c r="F77" s="144"/>
      <c r="G77" s="144">
        <v>1840.623</v>
      </c>
      <c r="H77" s="101"/>
      <c r="I77" s="101">
        <v>1658.1479999999999</v>
      </c>
      <c r="J77" s="101">
        <v>1658.1479999999999</v>
      </c>
      <c r="K77" s="101">
        <v>1658.1479999999999</v>
      </c>
      <c r="L77" s="101">
        <v>1658.1479999999999</v>
      </c>
      <c r="M77" s="101">
        <v>1500</v>
      </c>
      <c r="N77" s="101">
        <v>1658.1479999999999</v>
      </c>
      <c r="O77" s="101"/>
      <c r="Q77" s="223"/>
      <c r="R77" s="223"/>
      <c r="S77" s="223"/>
      <c r="T77" s="223"/>
      <c r="U77" s="223"/>
      <c r="V77" s="223"/>
      <c r="W77" s="223">
        <v>1500</v>
      </c>
      <c r="X77" s="223"/>
      <c r="Y77" s="223"/>
      <c r="Z77" s="223">
        <v>250</v>
      </c>
    </row>
    <row r="78" spans="1:26" s="31" customFormat="1" ht="66">
      <c r="A78" s="114" t="s">
        <v>85</v>
      </c>
      <c r="B78" s="155" t="s">
        <v>231</v>
      </c>
      <c r="C78" s="158" t="s">
        <v>206</v>
      </c>
      <c r="D78" s="160" t="s">
        <v>232</v>
      </c>
      <c r="E78" s="91">
        <f>F78+G78+H78</f>
        <v>1191.951</v>
      </c>
      <c r="F78" s="196"/>
      <c r="G78" s="113">
        <v>1191.951</v>
      </c>
      <c r="H78" s="113"/>
      <c r="I78" s="113">
        <v>1127.796</v>
      </c>
      <c r="J78" s="113">
        <v>1127.796</v>
      </c>
      <c r="K78" s="113">
        <v>1127.796</v>
      </c>
      <c r="L78" s="113">
        <v>1127.796</v>
      </c>
      <c r="M78" s="113">
        <f>J78</f>
        <v>1127.796</v>
      </c>
      <c r="N78" s="113">
        <f>J78</f>
        <v>1127.796</v>
      </c>
      <c r="O78" s="121"/>
      <c r="Q78" s="125"/>
      <c r="R78" s="125"/>
      <c r="S78" s="125"/>
      <c r="T78" s="125"/>
      <c r="U78" s="125"/>
      <c r="V78" s="125"/>
      <c r="W78" s="125">
        <v>700</v>
      </c>
      <c r="X78" s="125"/>
      <c r="Y78" s="125"/>
      <c r="Z78" s="125"/>
    </row>
    <row r="79" spans="1:26" s="214" customFormat="1" ht="66">
      <c r="A79" s="114" t="s">
        <v>86</v>
      </c>
      <c r="B79" s="78" t="s">
        <v>229</v>
      </c>
      <c r="C79" s="104" t="s">
        <v>219</v>
      </c>
      <c r="D79" s="46" t="s">
        <v>230</v>
      </c>
      <c r="E79" s="91">
        <f t="shared" si="13"/>
        <v>40840</v>
      </c>
      <c r="F79" s="101">
        <f>40840-G79</f>
        <v>37340</v>
      </c>
      <c r="G79" s="101">
        <v>3500</v>
      </c>
      <c r="H79" s="101"/>
      <c r="I79" s="101">
        <v>20500</v>
      </c>
      <c r="J79" s="101">
        <v>3500</v>
      </c>
      <c r="K79" s="101">
        <f>E79*80%</f>
        <v>32672</v>
      </c>
      <c r="L79" s="101">
        <v>20500</v>
      </c>
      <c r="M79" s="101">
        <v>2500</v>
      </c>
      <c r="N79" s="101">
        <f>J79</f>
        <v>3500</v>
      </c>
      <c r="O79" s="101"/>
      <c r="Q79" s="215"/>
      <c r="R79" s="215"/>
      <c r="S79" s="215"/>
      <c r="T79" s="215"/>
      <c r="U79" s="215"/>
      <c r="V79" s="215">
        <v>1500</v>
      </c>
      <c r="W79" s="215"/>
      <c r="X79" s="215"/>
      <c r="Y79" s="215"/>
      <c r="Z79" s="215"/>
    </row>
    <row r="80" spans="1:26" s="226" customFormat="1" ht="82.5">
      <c r="A80" s="114" t="s">
        <v>87</v>
      </c>
      <c r="B80" s="161" t="s">
        <v>233</v>
      </c>
      <c r="C80" s="126" t="s">
        <v>219</v>
      </c>
      <c r="D80" s="109" t="s">
        <v>234</v>
      </c>
      <c r="E80" s="91">
        <f t="shared" si="13"/>
        <v>9305</v>
      </c>
      <c r="F80" s="144"/>
      <c r="G80" s="144">
        <v>9305</v>
      </c>
      <c r="H80" s="144"/>
      <c r="I80" s="144">
        <v>8000</v>
      </c>
      <c r="J80" s="144">
        <v>8000</v>
      </c>
      <c r="K80" s="144">
        <v>8862.81</v>
      </c>
      <c r="L80" s="144">
        <v>8000</v>
      </c>
      <c r="M80" s="113">
        <f>J80</f>
        <v>8000</v>
      </c>
      <c r="N80" s="113">
        <f>J80</f>
        <v>8000</v>
      </c>
      <c r="O80" s="157"/>
      <c r="Q80" s="221"/>
      <c r="R80" s="221"/>
      <c r="S80" s="221"/>
      <c r="T80" s="221"/>
      <c r="U80" s="221"/>
      <c r="V80" s="221"/>
      <c r="W80" s="221">
        <v>1800</v>
      </c>
      <c r="X80" s="221"/>
      <c r="Y80" s="221"/>
      <c r="Z80" s="221">
        <v>5000</v>
      </c>
    </row>
    <row r="81" spans="1:26" s="228" customFormat="1" ht="82.5">
      <c r="A81" s="114" t="s">
        <v>88</v>
      </c>
      <c r="B81" s="162" t="s">
        <v>235</v>
      </c>
      <c r="C81" s="126" t="s">
        <v>219</v>
      </c>
      <c r="D81" s="109" t="s">
        <v>236</v>
      </c>
      <c r="E81" s="91">
        <f t="shared" si="13"/>
        <v>4649.4269999999997</v>
      </c>
      <c r="F81" s="144"/>
      <c r="G81" s="144">
        <v>4649.4269999999997</v>
      </c>
      <c r="H81" s="144"/>
      <c r="I81" s="144">
        <v>3000</v>
      </c>
      <c r="J81" s="144">
        <v>3000</v>
      </c>
      <c r="K81" s="144">
        <v>4083</v>
      </c>
      <c r="L81" s="144">
        <v>3000</v>
      </c>
      <c r="M81" s="113">
        <f>J81</f>
        <v>3000</v>
      </c>
      <c r="N81" s="113">
        <f>J81</f>
        <v>3000</v>
      </c>
      <c r="O81" s="157"/>
      <c r="Q81" s="229"/>
      <c r="R81" s="229"/>
      <c r="S81" s="229"/>
      <c r="T81" s="229"/>
      <c r="U81" s="229"/>
      <c r="V81" s="229"/>
      <c r="W81" s="229">
        <v>2000</v>
      </c>
      <c r="X81" s="229"/>
      <c r="Y81" s="229"/>
      <c r="Z81" s="229">
        <v>1000</v>
      </c>
    </row>
    <row r="82" spans="1:26" s="230" customFormat="1" ht="82.5">
      <c r="A82" s="114" t="s">
        <v>89</v>
      </c>
      <c r="B82" s="162" t="s">
        <v>237</v>
      </c>
      <c r="C82" s="126" t="s">
        <v>219</v>
      </c>
      <c r="D82" s="109" t="s">
        <v>238</v>
      </c>
      <c r="E82" s="91">
        <f t="shared" si="13"/>
        <v>10372.934999999999</v>
      </c>
      <c r="F82" s="144"/>
      <c r="G82" s="144">
        <v>10372.934999999999</v>
      </c>
      <c r="H82" s="113"/>
      <c r="I82" s="113">
        <f>3000+5500</f>
        <v>8500</v>
      </c>
      <c r="J82" s="113">
        <f>3000+5500</f>
        <v>8500</v>
      </c>
      <c r="K82" s="144">
        <v>9734.3619999999992</v>
      </c>
      <c r="L82" s="113">
        <f>3000+5500</f>
        <v>8500</v>
      </c>
      <c r="M82" s="113">
        <f>3000+2500</f>
        <v>5500</v>
      </c>
      <c r="N82" s="113">
        <f>3000+5500</f>
        <v>8500</v>
      </c>
      <c r="O82" s="113"/>
      <c r="P82" s="230">
        <v>1</v>
      </c>
      <c r="Q82" s="229"/>
      <c r="R82" s="229"/>
      <c r="S82" s="229"/>
      <c r="T82" s="229"/>
      <c r="U82" s="229"/>
      <c r="V82" s="229"/>
      <c r="W82" s="229">
        <v>3000</v>
      </c>
      <c r="X82" s="229"/>
      <c r="Y82" s="229"/>
      <c r="Z82" s="229">
        <v>5500</v>
      </c>
    </row>
    <row r="83" spans="1:26" s="230" customFormat="1" ht="82.5">
      <c r="A83" s="114" t="s">
        <v>90</v>
      </c>
      <c r="B83" s="162" t="s">
        <v>239</v>
      </c>
      <c r="C83" s="126" t="s">
        <v>219</v>
      </c>
      <c r="D83" s="109" t="s">
        <v>240</v>
      </c>
      <c r="E83" s="91">
        <f t="shared" si="13"/>
        <v>3894.2849999999999</v>
      </c>
      <c r="F83" s="144"/>
      <c r="G83" s="144">
        <v>3894.2849999999999</v>
      </c>
      <c r="H83" s="113"/>
      <c r="I83" s="144">
        <v>3660</v>
      </c>
      <c r="J83" s="144">
        <v>3660</v>
      </c>
      <c r="K83" s="144">
        <v>3660</v>
      </c>
      <c r="L83" s="144">
        <v>3660</v>
      </c>
      <c r="M83" s="113">
        <f>2000</f>
        <v>2000</v>
      </c>
      <c r="N83" s="144">
        <v>3660</v>
      </c>
      <c r="O83" s="113"/>
      <c r="P83" s="230">
        <v>1</v>
      </c>
      <c r="Q83" s="229"/>
      <c r="R83" s="229"/>
      <c r="S83" s="229"/>
      <c r="T83" s="229"/>
      <c r="U83" s="229"/>
      <c r="V83" s="229"/>
      <c r="W83" s="229">
        <v>2000</v>
      </c>
      <c r="X83" s="229"/>
      <c r="Y83" s="229"/>
      <c r="Z83" s="229">
        <v>1699</v>
      </c>
    </row>
    <row r="84" spans="1:26" s="228" customFormat="1" ht="82.5">
      <c r="A84" s="114" t="s">
        <v>92</v>
      </c>
      <c r="B84" s="162" t="s">
        <v>241</v>
      </c>
      <c r="C84" s="126" t="s">
        <v>219</v>
      </c>
      <c r="D84" s="109" t="s">
        <v>242</v>
      </c>
      <c r="E84" s="91">
        <f t="shared" si="13"/>
        <v>10394.691000000001</v>
      </c>
      <c r="F84" s="144"/>
      <c r="G84" s="144">
        <v>10394.691000000001</v>
      </c>
      <c r="H84" s="144"/>
      <c r="I84" s="144">
        <f>3000+2500</f>
        <v>5500</v>
      </c>
      <c r="J84" s="144">
        <f>3000+2500</f>
        <v>5500</v>
      </c>
      <c r="K84" s="144">
        <v>10257.885</v>
      </c>
      <c r="L84" s="144">
        <v>5500</v>
      </c>
      <c r="M84" s="144">
        <f>3000+2500</f>
        <v>5500</v>
      </c>
      <c r="N84" s="144">
        <f>3000+2500</f>
        <v>5500</v>
      </c>
      <c r="O84" s="157"/>
      <c r="Q84" s="229"/>
      <c r="R84" s="229"/>
      <c r="S84" s="229"/>
      <c r="T84" s="229"/>
      <c r="U84" s="229"/>
      <c r="V84" s="229"/>
      <c r="W84" s="229">
        <v>400</v>
      </c>
      <c r="X84" s="229"/>
      <c r="Y84" s="229"/>
      <c r="Z84" s="229">
        <v>6000</v>
      </c>
    </row>
    <row r="85" spans="1:26" s="230" customFormat="1" ht="82.5">
      <c r="A85" s="114" t="s">
        <v>93</v>
      </c>
      <c r="B85" s="162" t="s">
        <v>243</v>
      </c>
      <c r="C85" s="126" t="s">
        <v>219</v>
      </c>
      <c r="D85" s="109" t="s">
        <v>244</v>
      </c>
      <c r="E85" s="91">
        <f t="shared" si="13"/>
        <v>11287.361999999999</v>
      </c>
      <c r="F85" s="144"/>
      <c r="G85" s="144">
        <v>11287.361999999999</v>
      </c>
      <c r="H85" s="113"/>
      <c r="I85" s="113">
        <f>3500+5500</f>
        <v>9000</v>
      </c>
      <c r="J85" s="113">
        <f>3500+5500</f>
        <v>9000</v>
      </c>
      <c r="K85" s="113">
        <v>10513.36</v>
      </c>
      <c r="L85" s="113">
        <f>3500+5500</f>
        <v>9000</v>
      </c>
      <c r="M85" s="113">
        <v>3500</v>
      </c>
      <c r="N85" s="113">
        <f>3500+5500</f>
        <v>9000</v>
      </c>
      <c r="O85" s="113"/>
      <c r="P85" s="230">
        <v>1</v>
      </c>
      <c r="Q85" s="229"/>
      <c r="R85" s="229"/>
      <c r="S85" s="229"/>
      <c r="T85" s="229"/>
      <c r="U85" s="229"/>
      <c r="V85" s="229"/>
      <c r="W85" s="229">
        <v>3500</v>
      </c>
      <c r="X85" s="229"/>
      <c r="Y85" s="229"/>
      <c r="Z85" s="229">
        <v>5500</v>
      </c>
    </row>
    <row r="86" spans="1:26" s="230" customFormat="1" ht="49.5">
      <c r="A86" s="114"/>
      <c r="B86" s="162" t="s">
        <v>811</v>
      </c>
      <c r="C86" s="126"/>
      <c r="D86" s="109"/>
      <c r="E86" s="91"/>
      <c r="F86" s="144"/>
      <c r="G86" s="144"/>
      <c r="H86" s="113"/>
      <c r="I86" s="113"/>
      <c r="J86" s="113">
        <v>80.319999999999993</v>
      </c>
      <c r="K86" s="113"/>
      <c r="L86" s="113"/>
      <c r="M86" s="113">
        <v>0</v>
      </c>
      <c r="N86" s="113">
        <v>0</v>
      </c>
      <c r="O86" s="113"/>
      <c r="Q86" s="229"/>
      <c r="R86" s="229"/>
      <c r="S86" s="229"/>
      <c r="T86" s="229"/>
      <c r="U86" s="229"/>
      <c r="V86" s="229"/>
      <c r="W86" s="229"/>
      <c r="X86" s="229"/>
      <c r="Y86" s="229"/>
      <c r="Z86" s="229">
        <v>80.319999999999993</v>
      </c>
    </row>
    <row r="87" spans="1:26" s="214" customFormat="1" ht="82.5">
      <c r="A87" s="114" t="s">
        <v>94</v>
      </c>
      <c r="B87" s="108" t="s">
        <v>245</v>
      </c>
      <c r="C87" s="158" t="s">
        <v>246</v>
      </c>
      <c r="D87" s="152" t="s">
        <v>247</v>
      </c>
      <c r="E87" s="91">
        <f t="shared" si="13"/>
        <v>29319.806</v>
      </c>
      <c r="F87" s="144">
        <v>5000</v>
      </c>
      <c r="G87" s="144">
        <f>29319.806-F87</f>
        <v>24319.806</v>
      </c>
      <c r="H87" s="101"/>
      <c r="I87" s="101">
        <f>5000+6000+11426.75</f>
        <v>22426.75</v>
      </c>
      <c r="J87" s="101">
        <f>6000+11426.75</f>
        <v>17426.75</v>
      </c>
      <c r="K87" s="101">
        <f>E87*85%</f>
        <v>24921.8351</v>
      </c>
      <c r="L87" s="101">
        <f>5000+6000+11426.75</f>
        <v>22426.75</v>
      </c>
      <c r="M87" s="101">
        <f>507.733+10395.391</f>
        <v>10903.124</v>
      </c>
      <c r="N87" s="101">
        <f>J87</f>
        <v>17426.75</v>
      </c>
      <c r="O87" s="101"/>
      <c r="Q87" s="215"/>
      <c r="R87" s="215"/>
      <c r="S87" s="215"/>
      <c r="T87" s="215"/>
      <c r="U87" s="215"/>
      <c r="V87" s="215"/>
      <c r="W87" s="215"/>
      <c r="X87" s="215"/>
      <c r="Y87" s="215"/>
      <c r="Z87" s="215">
        <v>11426.75</v>
      </c>
    </row>
    <row r="88" spans="1:26" s="214" customFormat="1" ht="66">
      <c r="A88" s="114" t="s">
        <v>95</v>
      </c>
      <c r="B88" s="108" t="s">
        <v>254</v>
      </c>
      <c r="C88" s="158" t="s">
        <v>246</v>
      </c>
      <c r="D88" s="152" t="s">
        <v>255</v>
      </c>
      <c r="E88" s="91">
        <f t="shared" si="13"/>
        <v>941.95699999999999</v>
      </c>
      <c r="F88" s="144"/>
      <c r="G88" s="101">
        <v>941.95699999999999</v>
      </c>
      <c r="H88" s="101"/>
      <c r="I88" s="101">
        <v>914.27499999999998</v>
      </c>
      <c r="J88" s="101">
        <v>914.27499999999998</v>
      </c>
      <c r="K88" s="101">
        <v>914.27499999999998</v>
      </c>
      <c r="L88" s="101">
        <v>914.27499999999998</v>
      </c>
      <c r="M88" s="101">
        <v>840.25300000000004</v>
      </c>
      <c r="N88" s="101">
        <v>914.27499999999998</v>
      </c>
      <c r="O88" s="101"/>
      <c r="Q88" s="215"/>
      <c r="R88" s="215"/>
      <c r="S88" s="215"/>
      <c r="T88" s="215"/>
      <c r="U88" s="215"/>
      <c r="V88" s="215"/>
      <c r="W88" s="215"/>
      <c r="X88" s="215"/>
      <c r="Y88" s="215"/>
      <c r="Z88" s="215"/>
    </row>
    <row r="89" spans="1:26" s="32" customFormat="1" ht="66">
      <c r="A89" s="114" t="s">
        <v>96</v>
      </c>
      <c r="B89" s="58" t="s">
        <v>256</v>
      </c>
      <c r="C89" s="158" t="s">
        <v>246</v>
      </c>
      <c r="D89" s="152" t="s">
        <v>257</v>
      </c>
      <c r="E89" s="91">
        <f t="shared" si="13"/>
        <v>674.74400000000003</v>
      </c>
      <c r="F89" s="49"/>
      <c r="G89" s="101">
        <v>674.74400000000003</v>
      </c>
      <c r="H89" s="144"/>
      <c r="I89" s="101">
        <v>620</v>
      </c>
      <c r="J89" s="163">
        <v>620</v>
      </c>
      <c r="K89" s="101">
        <v>620</v>
      </c>
      <c r="L89" s="101">
        <v>620</v>
      </c>
      <c r="M89" s="163">
        <v>565.40099999999995</v>
      </c>
      <c r="N89" s="101">
        <v>620</v>
      </c>
      <c r="O89" s="163"/>
      <c r="Q89" s="208"/>
      <c r="R89" s="208"/>
      <c r="S89" s="208"/>
      <c r="T89" s="208"/>
      <c r="U89" s="208"/>
      <c r="V89" s="208"/>
      <c r="W89" s="208"/>
      <c r="X89" s="208"/>
      <c r="Y89" s="208"/>
      <c r="Z89" s="208">
        <v>1500</v>
      </c>
    </row>
    <row r="90" spans="1:26" s="232" customFormat="1" ht="66">
      <c r="A90" s="114" t="s">
        <v>301</v>
      </c>
      <c r="B90" s="162" t="s">
        <v>258</v>
      </c>
      <c r="C90" s="158" t="s">
        <v>246</v>
      </c>
      <c r="D90" s="152" t="s">
        <v>259</v>
      </c>
      <c r="E90" s="91">
        <f t="shared" si="13"/>
        <v>10643</v>
      </c>
      <c r="F90" s="197"/>
      <c r="G90" s="144">
        <v>10643</v>
      </c>
      <c r="H90" s="144"/>
      <c r="I90" s="113">
        <v>6000</v>
      </c>
      <c r="J90" s="113">
        <v>6000</v>
      </c>
      <c r="K90" s="101">
        <f>E90*80%</f>
        <v>8514.4</v>
      </c>
      <c r="L90" s="101">
        <f t="shared" ref="L90:L101" si="15">N90</f>
        <v>6000</v>
      </c>
      <c r="M90" s="101">
        <v>3944.6</v>
      </c>
      <c r="N90" s="101">
        <v>6000</v>
      </c>
      <c r="O90" s="101"/>
      <c r="Q90" s="215"/>
      <c r="R90" s="215"/>
      <c r="S90" s="215"/>
      <c r="T90" s="215"/>
      <c r="U90" s="215"/>
      <c r="V90" s="215"/>
      <c r="W90" s="215"/>
      <c r="X90" s="215"/>
      <c r="Y90" s="215"/>
      <c r="Z90" s="215">
        <v>6000</v>
      </c>
    </row>
    <row r="91" spans="1:26" s="32" customFormat="1" ht="82.5">
      <c r="A91" s="114" t="s">
        <v>302</v>
      </c>
      <c r="B91" s="58" t="s">
        <v>260</v>
      </c>
      <c r="C91" s="158" t="s">
        <v>246</v>
      </c>
      <c r="D91" s="109" t="s">
        <v>261</v>
      </c>
      <c r="E91" s="91">
        <f t="shared" si="13"/>
        <v>2181.893</v>
      </c>
      <c r="F91" s="144"/>
      <c r="G91" s="113">
        <v>2181.893</v>
      </c>
      <c r="H91" s="144"/>
      <c r="I91" s="113">
        <v>2200</v>
      </c>
      <c r="J91" s="113">
        <v>2200</v>
      </c>
      <c r="K91" s="101">
        <f>E91*95%</f>
        <v>2072.79835</v>
      </c>
      <c r="L91" s="101">
        <f t="shared" si="15"/>
        <v>2181.893</v>
      </c>
      <c r="M91" s="101">
        <v>1042.2809999999999</v>
      </c>
      <c r="N91" s="113">
        <v>2181.893</v>
      </c>
      <c r="O91" s="101"/>
      <c r="Q91" s="208"/>
      <c r="R91" s="208"/>
      <c r="S91" s="208"/>
      <c r="T91" s="208"/>
      <c r="U91" s="208"/>
      <c r="V91" s="208"/>
      <c r="W91" s="208"/>
      <c r="X91" s="208"/>
      <c r="Y91" s="208"/>
      <c r="Z91" s="208">
        <v>2200</v>
      </c>
    </row>
    <row r="92" spans="1:26" s="32" customFormat="1" ht="66">
      <c r="A92" s="114" t="s">
        <v>303</v>
      </c>
      <c r="B92" s="58" t="s">
        <v>262</v>
      </c>
      <c r="C92" s="158" t="s">
        <v>246</v>
      </c>
      <c r="D92" s="109" t="s">
        <v>263</v>
      </c>
      <c r="E92" s="91">
        <f t="shared" si="13"/>
        <v>4139.3530000000001</v>
      </c>
      <c r="F92" s="163"/>
      <c r="G92" s="164">
        <v>4139.3530000000001</v>
      </c>
      <c r="H92" s="144"/>
      <c r="I92" s="113">
        <v>3500</v>
      </c>
      <c r="J92" s="113">
        <v>3500</v>
      </c>
      <c r="K92" s="101">
        <f>E92*90%</f>
        <v>3725.4177</v>
      </c>
      <c r="L92" s="101">
        <f t="shared" si="15"/>
        <v>3500</v>
      </c>
      <c r="M92" s="101">
        <v>1181.395</v>
      </c>
      <c r="N92" s="101">
        <v>3500</v>
      </c>
      <c r="O92" s="101"/>
      <c r="Q92" s="208"/>
      <c r="R92" s="208"/>
      <c r="S92" s="208"/>
      <c r="T92" s="208"/>
      <c r="U92" s="208"/>
      <c r="V92" s="208"/>
      <c r="W92" s="208"/>
      <c r="X92" s="208"/>
      <c r="Y92" s="208"/>
      <c r="Z92" s="208">
        <v>3500</v>
      </c>
    </row>
    <row r="93" spans="1:26" s="32" customFormat="1" ht="82.5">
      <c r="A93" s="114" t="s">
        <v>304</v>
      </c>
      <c r="B93" s="58" t="s">
        <v>264</v>
      </c>
      <c r="C93" s="158" t="s">
        <v>246</v>
      </c>
      <c r="D93" s="109" t="s">
        <v>265</v>
      </c>
      <c r="E93" s="91">
        <f t="shared" si="13"/>
        <v>6608.9780000000001</v>
      </c>
      <c r="F93" s="163"/>
      <c r="G93" s="164">
        <v>6608.9780000000001</v>
      </c>
      <c r="H93" s="144"/>
      <c r="I93" s="113">
        <v>5000</v>
      </c>
      <c r="J93" s="113">
        <v>5000</v>
      </c>
      <c r="K93" s="101">
        <f>E93*95%</f>
        <v>6278.5290999999997</v>
      </c>
      <c r="L93" s="101">
        <f t="shared" si="15"/>
        <v>5000</v>
      </c>
      <c r="M93" s="101">
        <v>3183.2860000000001</v>
      </c>
      <c r="N93" s="101">
        <v>5000</v>
      </c>
      <c r="O93" s="101"/>
      <c r="P93" s="32">
        <v>1</v>
      </c>
      <c r="Q93" s="208"/>
      <c r="R93" s="208"/>
      <c r="S93" s="208"/>
      <c r="T93" s="208"/>
      <c r="U93" s="208"/>
      <c r="V93" s="208"/>
      <c r="W93" s="208"/>
      <c r="X93" s="208"/>
      <c r="Y93" s="208"/>
      <c r="Z93" s="208">
        <v>5000</v>
      </c>
    </row>
    <row r="94" spans="1:26" s="32" customFormat="1" ht="66">
      <c r="A94" s="114" t="s">
        <v>305</v>
      </c>
      <c r="B94" s="58" t="s">
        <v>266</v>
      </c>
      <c r="C94" s="158" t="s">
        <v>246</v>
      </c>
      <c r="D94" s="109" t="s">
        <v>267</v>
      </c>
      <c r="E94" s="91">
        <f t="shared" si="13"/>
        <v>6015.6840000000002</v>
      </c>
      <c r="F94" s="163"/>
      <c r="G94" s="164">
        <v>6015.6840000000002</v>
      </c>
      <c r="H94" s="144"/>
      <c r="I94" s="113">
        <v>5000</v>
      </c>
      <c r="J94" s="113">
        <v>5000</v>
      </c>
      <c r="K94" s="101">
        <f>E94*85%</f>
        <v>5113.3314</v>
      </c>
      <c r="L94" s="101">
        <f t="shared" si="15"/>
        <v>5000</v>
      </c>
      <c r="M94" s="101">
        <v>2681.163</v>
      </c>
      <c r="N94" s="101">
        <v>5000</v>
      </c>
      <c r="O94" s="101"/>
      <c r="P94" s="32">
        <v>1</v>
      </c>
      <c r="Q94" s="208"/>
      <c r="R94" s="208"/>
      <c r="S94" s="208"/>
      <c r="T94" s="208"/>
      <c r="U94" s="208"/>
      <c r="V94" s="208"/>
      <c r="W94" s="208"/>
      <c r="X94" s="208"/>
      <c r="Y94" s="208"/>
      <c r="Z94" s="208">
        <v>5000</v>
      </c>
    </row>
    <row r="95" spans="1:26" s="32" customFormat="1" ht="66">
      <c r="A95" s="114" t="s">
        <v>306</v>
      </c>
      <c r="B95" s="58" t="s">
        <v>268</v>
      </c>
      <c r="C95" s="158" t="s">
        <v>246</v>
      </c>
      <c r="D95" s="109" t="s">
        <v>269</v>
      </c>
      <c r="E95" s="91">
        <f t="shared" si="13"/>
        <v>5550</v>
      </c>
      <c r="F95" s="163"/>
      <c r="G95" s="164">
        <v>5550</v>
      </c>
      <c r="H95" s="144"/>
      <c r="I95" s="113">
        <v>4000</v>
      </c>
      <c r="J95" s="113">
        <v>4000</v>
      </c>
      <c r="K95" s="101">
        <f>E95*95%</f>
        <v>5272.5</v>
      </c>
      <c r="L95" s="101">
        <f t="shared" si="15"/>
        <v>4000</v>
      </c>
      <c r="M95" s="101">
        <v>2295.12</v>
      </c>
      <c r="N95" s="101">
        <v>4000</v>
      </c>
      <c r="O95" s="101"/>
      <c r="Q95" s="208"/>
      <c r="R95" s="208"/>
      <c r="S95" s="208"/>
      <c r="T95" s="208"/>
      <c r="U95" s="208"/>
      <c r="V95" s="208"/>
      <c r="W95" s="208"/>
      <c r="X95" s="208"/>
      <c r="Y95" s="208"/>
      <c r="Z95" s="208">
        <v>4000</v>
      </c>
    </row>
    <row r="96" spans="1:26" s="32" customFormat="1" ht="66">
      <c r="A96" s="114" t="s">
        <v>307</v>
      </c>
      <c r="B96" s="58" t="s">
        <v>270</v>
      </c>
      <c r="C96" s="158" t="s">
        <v>246</v>
      </c>
      <c r="D96" s="109" t="s">
        <v>271</v>
      </c>
      <c r="E96" s="91">
        <f t="shared" si="13"/>
        <v>3804.779</v>
      </c>
      <c r="F96" s="164"/>
      <c r="G96" s="164">
        <v>3804.779</v>
      </c>
      <c r="H96" s="144"/>
      <c r="I96" s="164">
        <f>3804.779*97%</f>
        <v>3690.6356299999998</v>
      </c>
      <c r="J96" s="164">
        <f>3804.779*97%</f>
        <v>3690.6356299999998</v>
      </c>
      <c r="K96" s="164">
        <f>3804.779*97%</f>
        <v>3690.6356299999998</v>
      </c>
      <c r="L96" s="164">
        <f>3804.779*97%</f>
        <v>3690.6356299999998</v>
      </c>
      <c r="M96" s="164">
        <v>1192.99</v>
      </c>
      <c r="N96" s="164">
        <f>J96</f>
        <v>3690.6356299999998</v>
      </c>
      <c r="O96" s="164"/>
      <c r="Q96" s="208"/>
      <c r="R96" s="208"/>
      <c r="S96" s="208"/>
      <c r="T96" s="208"/>
      <c r="U96" s="208"/>
      <c r="V96" s="208"/>
      <c r="W96" s="208"/>
      <c r="X96" s="208"/>
      <c r="Y96" s="208"/>
      <c r="Z96" s="208">
        <v>5000</v>
      </c>
    </row>
    <row r="97" spans="1:26" s="32" customFormat="1" ht="66">
      <c r="A97" s="114" t="s">
        <v>308</v>
      </c>
      <c r="B97" s="58" t="s">
        <v>272</v>
      </c>
      <c r="C97" s="158" t="s">
        <v>246</v>
      </c>
      <c r="D97" s="109" t="s">
        <v>273</v>
      </c>
      <c r="E97" s="91">
        <f t="shared" si="13"/>
        <v>4243.0550000000003</v>
      </c>
      <c r="F97" s="49"/>
      <c r="G97" s="101">
        <v>4243.0550000000003</v>
      </c>
      <c r="H97" s="144"/>
      <c r="I97" s="113">
        <v>4000</v>
      </c>
      <c r="J97" s="113">
        <v>4000</v>
      </c>
      <c r="K97" s="101">
        <f>E97*97%</f>
        <v>4115.7633500000002</v>
      </c>
      <c r="L97" s="164">
        <f t="shared" si="15"/>
        <v>4000</v>
      </c>
      <c r="M97" s="164">
        <v>1622.1849999999999</v>
      </c>
      <c r="N97" s="164">
        <v>4000</v>
      </c>
      <c r="O97" s="164"/>
      <c r="Q97" s="208"/>
      <c r="R97" s="208"/>
      <c r="S97" s="208"/>
      <c r="T97" s="208"/>
      <c r="U97" s="208"/>
      <c r="V97" s="208"/>
      <c r="W97" s="208"/>
      <c r="X97" s="208"/>
      <c r="Y97" s="208"/>
      <c r="Z97" s="208">
        <v>4000</v>
      </c>
    </row>
    <row r="98" spans="1:26" s="32" customFormat="1" ht="66">
      <c r="A98" s="114" t="s">
        <v>309</v>
      </c>
      <c r="B98" s="58" t="s">
        <v>274</v>
      </c>
      <c r="C98" s="158" t="s">
        <v>246</v>
      </c>
      <c r="D98" s="109" t="s">
        <v>275</v>
      </c>
      <c r="E98" s="91">
        <f t="shared" si="13"/>
        <v>3815.4879999999998</v>
      </c>
      <c r="F98" s="49"/>
      <c r="G98" s="101">
        <v>3815.4879999999998</v>
      </c>
      <c r="H98" s="144"/>
      <c r="I98" s="113">
        <v>3500</v>
      </c>
      <c r="J98" s="113">
        <v>3500</v>
      </c>
      <c r="K98" s="101">
        <f>E98*97%</f>
        <v>3701.0233599999997</v>
      </c>
      <c r="L98" s="164">
        <f t="shared" si="15"/>
        <v>3500</v>
      </c>
      <c r="M98" s="164">
        <v>1199.1099999999999</v>
      </c>
      <c r="N98" s="164">
        <v>3500</v>
      </c>
      <c r="O98" s="164"/>
      <c r="P98" s="32">
        <v>1</v>
      </c>
      <c r="Q98" s="208"/>
      <c r="R98" s="208"/>
      <c r="S98" s="208"/>
      <c r="T98" s="208"/>
      <c r="U98" s="208"/>
      <c r="V98" s="208"/>
      <c r="W98" s="208"/>
      <c r="X98" s="208"/>
      <c r="Y98" s="208"/>
      <c r="Z98" s="208">
        <v>3500</v>
      </c>
    </row>
    <row r="99" spans="1:26" s="32" customFormat="1" ht="66">
      <c r="A99" s="114" t="s">
        <v>310</v>
      </c>
      <c r="B99" s="58" t="s">
        <v>297</v>
      </c>
      <c r="C99" s="158" t="s">
        <v>246</v>
      </c>
      <c r="D99" s="109" t="s">
        <v>298</v>
      </c>
      <c r="E99" s="91">
        <f>F99+G99+H99</f>
        <v>13500</v>
      </c>
      <c r="F99" s="49"/>
      <c r="G99" s="113">
        <v>13500</v>
      </c>
      <c r="H99" s="144"/>
      <c r="I99" s="113">
        <v>8500</v>
      </c>
      <c r="J99" s="113">
        <v>8500</v>
      </c>
      <c r="K99" s="113">
        <f>E99*80%</f>
        <v>10800</v>
      </c>
      <c r="L99" s="113">
        <v>8500</v>
      </c>
      <c r="M99" s="113"/>
      <c r="N99" s="113">
        <v>8500</v>
      </c>
      <c r="O99" s="163"/>
      <c r="Q99" s="208"/>
      <c r="R99" s="208"/>
      <c r="S99" s="208"/>
      <c r="T99" s="208"/>
      <c r="U99" s="208"/>
      <c r="V99" s="208"/>
      <c r="W99" s="208"/>
      <c r="X99" s="208"/>
      <c r="Y99" s="208"/>
      <c r="Z99" s="208">
        <v>5000</v>
      </c>
    </row>
    <row r="100" spans="1:26" s="32" customFormat="1" ht="66">
      <c r="A100" s="114" t="s">
        <v>311</v>
      </c>
      <c r="B100" s="58" t="s">
        <v>278</v>
      </c>
      <c r="C100" s="158" t="s">
        <v>246</v>
      </c>
      <c r="D100" s="109" t="s">
        <v>279</v>
      </c>
      <c r="E100" s="91">
        <f t="shared" si="13"/>
        <v>4980.9030000000002</v>
      </c>
      <c r="F100" s="49"/>
      <c r="G100" s="164">
        <v>4980.9030000000002</v>
      </c>
      <c r="H100" s="144"/>
      <c r="I100" s="113">
        <v>2000</v>
      </c>
      <c r="J100" s="113">
        <v>2000</v>
      </c>
      <c r="K100" s="101">
        <f>E100*60%</f>
        <v>2988.5418</v>
      </c>
      <c r="L100" s="164">
        <f t="shared" si="15"/>
        <v>2000</v>
      </c>
      <c r="M100" s="164">
        <v>1974.354</v>
      </c>
      <c r="N100" s="164">
        <v>2000</v>
      </c>
      <c r="O100" s="164"/>
      <c r="P100" s="32">
        <v>1</v>
      </c>
      <c r="Q100" s="208"/>
      <c r="R100" s="208"/>
      <c r="S100" s="208"/>
      <c r="T100" s="208"/>
      <c r="U100" s="208"/>
      <c r="V100" s="208"/>
      <c r="W100" s="208"/>
      <c r="X100" s="208"/>
      <c r="Y100" s="208"/>
      <c r="Z100" s="208">
        <v>3000</v>
      </c>
    </row>
    <row r="101" spans="1:26" s="32" customFormat="1" ht="66">
      <c r="A101" s="114" t="s">
        <v>312</v>
      </c>
      <c r="B101" s="58" t="s">
        <v>280</v>
      </c>
      <c r="C101" s="158" t="s">
        <v>246</v>
      </c>
      <c r="D101" s="109" t="s">
        <v>281</v>
      </c>
      <c r="E101" s="91">
        <f t="shared" si="13"/>
        <v>3540.1309999999999</v>
      </c>
      <c r="F101" s="144"/>
      <c r="G101" s="164">
        <v>3540.1309999999999</v>
      </c>
      <c r="H101" s="144"/>
      <c r="I101" s="113">
        <v>3000</v>
      </c>
      <c r="J101" s="113">
        <v>3000</v>
      </c>
      <c r="K101" s="101">
        <f>E101*95%</f>
        <v>3363.1244499999998</v>
      </c>
      <c r="L101" s="164">
        <f t="shared" si="15"/>
        <v>3000</v>
      </c>
      <c r="M101" s="164"/>
      <c r="N101" s="113">
        <v>3000</v>
      </c>
      <c r="O101" s="164"/>
      <c r="Q101" s="208"/>
      <c r="R101" s="208"/>
      <c r="S101" s="208"/>
      <c r="T101" s="208"/>
      <c r="U101" s="208"/>
      <c r="V101" s="208"/>
      <c r="W101" s="208"/>
      <c r="X101" s="208"/>
      <c r="Y101" s="208"/>
      <c r="Z101" s="208">
        <v>3000</v>
      </c>
    </row>
    <row r="102" spans="1:26" s="234" customFormat="1" ht="66">
      <c r="A102" s="114" t="s">
        <v>313</v>
      </c>
      <c r="B102" s="58" t="s">
        <v>282</v>
      </c>
      <c r="C102" s="158" t="s">
        <v>246</v>
      </c>
      <c r="D102" s="109" t="s">
        <v>283</v>
      </c>
      <c r="E102" s="91">
        <f t="shared" si="13"/>
        <v>1271.595855</v>
      </c>
      <c r="F102" s="144"/>
      <c r="G102" s="164">
        <v>1271.595855</v>
      </c>
      <c r="H102" s="144"/>
      <c r="I102" s="164">
        <v>1271.595855</v>
      </c>
      <c r="J102" s="164">
        <v>1271.595855</v>
      </c>
      <c r="K102" s="101">
        <f>E102*97%</f>
        <v>1233.44797935</v>
      </c>
      <c r="L102" s="144">
        <f>N102</f>
        <v>1233.44797935</v>
      </c>
      <c r="M102" s="144"/>
      <c r="N102" s="144">
        <f>K102</f>
        <v>1233.44797935</v>
      </c>
      <c r="O102" s="144"/>
      <c r="Q102" s="333"/>
      <c r="R102" s="333"/>
      <c r="S102" s="333"/>
      <c r="T102" s="333"/>
      <c r="U102" s="333"/>
      <c r="V102" s="333"/>
      <c r="W102" s="333"/>
      <c r="X102" s="333"/>
      <c r="Y102" s="333"/>
      <c r="Z102" s="333"/>
    </row>
    <row r="103" spans="1:26" s="232" customFormat="1" ht="66">
      <c r="A103" s="114" t="s">
        <v>314</v>
      </c>
      <c r="B103" s="58" t="s">
        <v>284</v>
      </c>
      <c r="C103" s="158" t="s">
        <v>246</v>
      </c>
      <c r="D103" s="109" t="s">
        <v>285</v>
      </c>
      <c r="E103" s="91">
        <f t="shared" si="13"/>
        <v>8800</v>
      </c>
      <c r="F103" s="163"/>
      <c r="G103" s="164">
        <f>8800-H103</f>
        <v>2400</v>
      </c>
      <c r="H103" s="164">
        <v>6400</v>
      </c>
      <c r="I103" s="113">
        <f>6400+1600</f>
        <v>8000</v>
      </c>
      <c r="J103" s="113">
        <v>1600</v>
      </c>
      <c r="K103" s="101">
        <f>E103*97%</f>
        <v>8536</v>
      </c>
      <c r="L103" s="101">
        <v>8000</v>
      </c>
      <c r="M103" s="101"/>
      <c r="N103" s="164">
        <v>1600</v>
      </c>
      <c r="O103" s="101"/>
      <c r="P103" s="232">
        <v>1</v>
      </c>
      <c r="Q103" s="215"/>
      <c r="R103" s="215"/>
      <c r="S103" s="215"/>
      <c r="T103" s="215"/>
      <c r="U103" s="215"/>
      <c r="V103" s="215"/>
      <c r="W103" s="215"/>
      <c r="X103" s="215"/>
      <c r="Y103" s="215"/>
      <c r="Z103" s="215">
        <v>1600</v>
      </c>
    </row>
    <row r="104" spans="1:26" s="232" customFormat="1" ht="66">
      <c r="A104" s="114" t="s">
        <v>315</v>
      </c>
      <c r="B104" s="58" t="s">
        <v>286</v>
      </c>
      <c r="C104" s="158" t="s">
        <v>246</v>
      </c>
      <c r="D104" s="109" t="s">
        <v>287</v>
      </c>
      <c r="E104" s="91">
        <f t="shared" si="13"/>
        <v>4346.3270000000002</v>
      </c>
      <c r="F104" s="163"/>
      <c r="G104" s="164">
        <v>500</v>
      </c>
      <c r="H104" s="164">
        <f>4346.327-G104</f>
        <v>3846.3270000000002</v>
      </c>
      <c r="I104" s="164">
        <v>4346.3270000000002</v>
      </c>
      <c r="J104" s="164">
        <v>500</v>
      </c>
      <c r="K104" s="164">
        <v>4346.3270000000002</v>
      </c>
      <c r="L104" s="164">
        <v>4346.3270000000002</v>
      </c>
      <c r="M104" s="101"/>
      <c r="N104" s="164">
        <v>500</v>
      </c>
      <c r="O104" s="101"/>
      <c r="P104" s="232">
        <v>1</v>
      </c>
      <c r="Q104" s="215"/>
      <c r="R104" s="215"/>
      <c r="S104" s="215"/>
      <c r="T104" s="215"/>
      <c r="U104" s="215"/>
      <c r="V104" s="215"/>
      <c r="W104" s="215"/>
      <c r="X104" s="215"/>
      <c r="Y104" s="215"/>
      <c r="Z104" s="215">
        <v>500</v>
      </c>
    </row>
    <row r="105" spans="1:26" s="32" customFormat="1" ht="66">
      <c r="A105" s="114" t="s">
        <v>316</v>
      </c>
      <c r="B105" s="78" t="s">
        <v>288</v>
      </c>
      <c r="C105" s="158" t="s">
        <v>246</v>
      </c>
      <c r="D105" s="109" t="s">
        <v>289</v>
      </c>
      <c r="E105" s="91">
        <f t="shared" si="13"/>
        <v>5861.1379999999999</v>
      </c>
      <c r="F105" s="101">
        <v>3500</v>
      </c>
      <c r="G105" s="101">
        <f>5861.138-3500</f>
        <v>2361.1379999999999</v>
      </c>
      <c r="H105" s="101"/>
      <c r="I105" s="113">
        <f>3500+1600</f>
        <v>5100</v>
      </c>
      <c r="J105" s="113">
        <v>1600</v>
      </c>
      <c r="K105" s="101">
        <f>E105*95%</f>
        <v>5568.0810999999994</v>
      </c>
      <c r="L105" s="101">
        <v>5100</v>
      </c>
      <c r="M105" s="101"/>
      <c r="N105" s="101">
        <f>J105</f>
        <v>1600</v>
      </c>
      <c r="O105" s="101"/>
      <c r="Q105" s="208"/>
      <c r="R105" s="208"/>
      <c r="S105" s="208"/>
      <c r="T105" s="208"/>
      <c r="U105" s="208"/>
      <c r="V105" s="208"/>
      <c r="W105" s="208"/>
      <c r="X105" s="208"/>
      <c r="Y105" s="208"/>
      <c r="Z105" s="208"/>
    </row>
    <row r="106" spans="1:26" s="222" customFormat="1" ht="66">
      <c r="A106" s="114" t="s">
        <v>317</v>
      </c>
      <c r="B106" s="151" t="s">
        <v>290</v>
      </c>
      <c r="C106" s="158" t="s">
        <v>246</v>
      </c>
      <c r="D106" s="152" t="s">
        <v>291</v>
      </c>
      <c r="E106" s="91">
        <f t="shared" si="13"/>
        <v>29440.141</v>
      </c>
      <c r="F106" s="144">
        <v>7000</v>
      </c>
      <c r="G106" s="144">
        <f>29440.141-7000</f>
        <v>22440.141</v>
      </c>
      <c r="H106" s="144"/>
      <c r="I106" s="144">
        <v>29440</v>
      </c>
      <c r="J106" s="144">
        <f>29440-7000</f>
        <v>22440</v>
      </c>
      <c r="K106" s="165">
        <f>E106*35%</f>
        <v>10304.049349999999</v>
      </c>
      <c r="L106" s="101">
        <f>I106*50%</f>
        <v>14720</v>
      </c>
      <c r="M106" s="101"/>
      <c r="N106" s="101">
        <f>L106-7000</f>
        <v>7720</v>
      </c>
      <c r="O106" s="166"/>
      <c r="Q106" s="223"/>
      <c r="R106" s="223"/>
      <c r="S106" s="223"/>
      <c r="T106" s="223"/>
      <c r="U106" s="223"/>
      <c r="V106" s="223"/>
      <c r="W106" s="223"/>
      <c r="X106" s="223"/>
      <c r="Y106" s="223"/>
      <c r="Z106" s="223"/>
    </row>
    <row r="107" spans="1:26" s="32" customFormat="1" ht="66">
      <c r="A107" s="114" t="s">
        <v>318</v>
      </c>
      <c r="B107" s="58" t="s">
        <v>276</v>
      </c>
      <c r="C107" s="64" t="s">
        <v>33</v>
      </c>
      <c r="D107" s="109" t="s">
        <v>277</v>
      </c>
      <c r="E107" s="91">
        <f>F107+G107+H107</f>
        <v>7136</v>
      </c>
      <c r="F107" s="49"/>
      <c r="G107" s="164">
        <v>7136</v>
      </c>
      <c r="H107" s="144"/>
      <c r="I107" s="113">
        <v>2730</v>
      </c>
      <c r="J107" s="113">
        <v>2730</v>
      </c>
      <c r="K107" s="101">
        <f>E107*70%</f>
        <v>4995.2</v>
      </c>
      <c r="L107" s="164">
        <f>N107</f>
        <v>2730</v>
      </c>
      <c r="M107" s="164">
        <v>2680.9360000000001</v>
      </c>
      <c r="N107" s="164">
        <v>2730</v>
      </c>
      <c r="O107" s="164"/>
      <c r="P107" s="32">
        <v>1</v>
      </c>
      <c r="Q107" s="208"/>
      <c r="R107" s="208"/>
      <c r="S107" s="208"/>
      <c r="T107" s="208"/>
      <c r="U107" s="208"/>
      <c r="V107" s="208"/>
      <c r="W107" s="208"/>
      <c r="X107" s="208"/>
      <c r="Y107" s="208"/>
      <c r="Z107" s="208">
        <v>5000</v>
      </c>
    </row>
    <row r="108" spans="1:26" s="232" customFormat="1" ht="82.5">
      <c r="A108" s="114" t="s">
        <v>319</v>
      </c>
      <c r="B108" s="162" t="s">
        <v>32</v>
      </c>
      <c r="C108" s="64" t="s">
        <v>33</v>
      </c>
      <c r="D108" s="109" t="s">
        <v>292</v>
      </c>
      <c r="E108" s="91">
        <f t="shared" si="13"/>
        <v>43146</v>
      </c>
      <c r="F108" s="144"/>
      <c r="G108" s="144">
        <v>43146</v>
      </c>
      <c r="H108" s="144"/>
      <c r="I108" s="113">
        <v>29000</v>
      </c>
      <c r="J108" s="113">
        <v>29000</v>
      </c>
      <c r="K108" s="101">
        <f>E108*30%</f>
        <v>12943.8</v>
      </c>
      <c r="L108" s="101">
        <f>N108</f>
        <v>15000</v>
      </c>
      <c r="M108" s="101">
        <v>12170.174000000001</v>
      </c>
      <c r="N108" s="101">
        <v>15000</v>
      </c>
      <c r="O108" s="101"/>
      <c r="Q108" s="215"/>
      <c r="R108" s="215"/>
      <c r="S108" s="215"/>
      <c r="T108" s="215"/>
      <c r="U108" s="215"/>
      <c r="V108" s="215"/>
      <c r="W108" s="215"/>
      <c r="X108" s="215"/>
      <c r="Y108" s="215"/>
      <c r="Z108" s="215">
        <v>14000</v>
      </c>
    </row>
    <row r="109" spans="1:26" s="32" customFormat="1" ht="66">
      <c r="A109" s="114" t="s">
        <v>320</v>
      </c>
      <c r="B109" s="58" t="s">
        <v>293</v>
      </c>
      <c r="C109" s="64" t="s">
        <v>33</v>
      </c>
      <c r="D109" s="109" t="s">
        <v>294</v>
      </c>
      <c r="E109" s="91">
        <f t="shared" si="13"/>
        <v>5000</v>
      </c>
      <c r="F109" s="49"/>
      <c r="G109" s="113">
        <v>5000</v>
      </c>
      <c r="H109" s="144"/>
      <c r="I109" s="113">
        <v>4990</v>
      </c>
      <c r="J109" s="113">
        <v>4990</v>
      </c>
      <c r="K109" s="113">
        <v>4990</v>
      </c>
      <c r="L109" s="113">
        <v>4990</v>
      </c>
      <c r="M109" s="113"/>
      <c r="N109" s="113">
        <v>4990</v>
      </c>
      <c r="O109" s="163"/>
      <c r="Q109" s="208"/>
      <c r="R109" s="208"/>
      <c r="S109" s="208"/>
      <c r="T109" s="208"/>
      <c r="U109" s="208"/>
      <c r="V109" s="208"/>
      <c r="W109" s="208"/>
      <c r="X109" s="208"/>
      <c r="Y109" s="208"/>
      <c r="Z109" s="208">
        <v>3000</v>
      </c>
    </row>
    <row r="110" spans="1:26" s="32" customFormat="1" ht="66">
      <c r="A110" s="114" t="s">
        <v>321</v>
      </c>
      <c r="B110" s="58" t="s">
        <v>295</v>
      </c>
      <c r="C110" s="64" t="s">
        <v>33</v>
      </c>
      <c r="D110" s="109" t="s">
        <v>296</v>
      </c>
      <c r="E110" s="91">
        <f t="shared" si="13"/>
        <v>9360.3889999999992</v>
      </c>
      <c r="F110" s="49"/>
      <c r="G110" s="113">
        <v>9360.3889999999992</v>
      </c>
      <c r="H110" s="144"/>
      <c r="I110" s="113">
        <v>8000</v>
      </c>
      <c r="J110" s="113">
        <v>8000</v>
      </c>
      <c r="K110" s="113">
        <f>E110*60%</f>
        <v>5616.2333999999992</v>
      </c>
      <c r="L110" s="113">
        <f>N110</f>
        <v>8000</v>
      </c>
      <c r="M110" s="113"/>
      <c r="N110" s="113">
        <f>J110</f>
        <v>8000</v>
      </c>
      <c r="O110" s="163"/>
      <c r="Q110" s="208"/>
      <c r="R110" s="208"/>
      <c r="S110" s="208"/>
      <c r="T110" s="208"/>
      <c r="U110" s="208"/>
      <c r="V110" s="208"/>
      <c r="W110" s="208"/>
      <c r="X110" s="208"/>
      <c r="Y110" s="208"/>
      <c r="Z110" s="208">
        <v>6500</v>
      </c>
    </row>
    <row r="111" spans="1:26" s="32" customFormat="1" ht="82.5">
      <c r="A111" s="114" t="s">
        <v>322</v>
      </c>
      <c r="B111" s="58" t="s">
        <v>299</v>
      </c>
      <c r="C111" s="64" t="s">
        <v>33</v>
      </c>
      <c r="D111" s="109" t="s">
        <v>300</v>
      </c>
      <c r="E111" s="91">
        <f t="shared" si="13"/>
        <v>14963</v>
      </c>
      <c r="F111" s="49"/>
      <c r="G111" s="164">
        <v>14963</v>
      </c>
      <c r="H111" s="144"/>
      <c r="I111" s="113">
        <v>8000</v>
      </c>
      <c r="J111" s="113">
        <v>8000</v>
      </c>
      <c r="K111" s="113">
        <f>E111*55%</f>
        <v>8229.6500000000015</v>
      </c>
      <c r="L111" s="113">
        <v>8000</v>
      </c>
      <c r="M111" s="113"/>
      <c r="N111" s="113">
        <v>8000</v>
      </c>
      <c r="O111" s="163"/>
      <c r="Q111" s="208"/>
      <c r="R111" s="208"/>
      <c r="S111" s="208"/>
      <c r="T111" s="208"/>
      <c r="U111" s="208"/>
      <c r="V111" s="208"/>
      <c r="W111" s="208"/>
      <c r="X111" s="208"/>
      <c r="Y111" s="208"/>
      <c r="Z111" s="208">
        <v>6000</v>
      </c>
    </row>
    <row r="112" spans="1:26" s="83" customFormat="1" ht="82.5">
      <c r="A112" s="114" t="s">
        <v>334</v>
      </c>
      <c r="B112" s="58" t="s">
        <v>332</v>
      </c>
      <c r="C112" s="64" t="s">
        <v>33</v>
      </c>
      <c r="D112" s="109" t="s">
        <v>333</v>
      </c>
      <c r="E112" s="91">
        <f t="shared" si="13"/>
        <v>2231.3119999999999</v>
      </c>
      <c r="F112" s="49"/>
      <c r="G112" s="164">
        <v>2231.3119999999999</v>
      </c>
      <c r="H112" s="144"/>
      <c r="I112" s="113">
        <v>2000</v>
      </c>
      <c r="J112" s="113">
        <v>2000</v>
      </c>
      <c r="K112" s="113">
        <f>E112*55%</f>
        <v>1227.2216000000001</v>
      </c>
      <c r="L112" s="113">
        <v>2000</v>
      </c>
      <c r="M112" s="113"/>
      <c r="N112" s="113">
        <v>2000</v>
      </c>
      <c r="O112" s="163"/>
      <c r="Q112" s="82"/>
      <c r="R112" s="82"/>
      <c r="S112" s="82"/>
      <c r="T112" s="82"/>
      <c r="U112" s="82"/>
      <c r="V112" s="82"/>
      <c r="W112" s="82"/>
      <c r="X112" s="82"/>
      <c r="Y112" s="82"/>
      <c r="Z112" s="82"/>
    </row>
    <row r="113" spans="1:26" s="83" customFormat="1" ht="33">
      <c r="A113" s="114"/>
      <c r="B113" s="58" t="s">
        <v>813</v>
      </c>
      <c r="C113" s="64"/>
      <c r="D113" s="109"/>
      <c r="E113" s="91"/>
      <c r="F113" s="49"/>
      <c r="G113" s="164"/>
      <c r="H113" s="144"/>
      <c r="I113" s="113">
        <v>4000</v>
      </c>
      <c r="J113" s="113">
        <v>4000</v>
      </c>
      <c r="K113" s="113"/>
      <c r="L113" s="113"/>
      <c r="M113" s="113"/>
      <c r="N113" s="113"/>
      <c r="O113" s="163"/>
      <c r="Q113" s="82"/>
      <c r="R113" s="82"/>
      <c r="S113" s="82"/>
      <c r="T113" s="82"/>
      <c r="U113" s="82"/>
      <c r="V113" s="82"/>
      <c r="W113" s="82"/>
      <c r="X113" s="82"/>
      <c r="Y113" s="82"/>
      <c r="Z113" s="82">
        <v>4000</v>
      </c>
    </row>
    <row r="114" spans="1:26" s="83" customFormat="1" ht="33">
      <c r="A114" s="114"/>
      <c r="B114" s="58" t="s">
        <v>781</v>
      </c>
      <c r="C114" s="64"/>
      <c r="D114" s="109"/>
      <c r="E114" s="91"/>
      <c r="F114" s="49"/>
      <c r="G114" s="164"/>
      <c r="H114" s="144"/>
      <c r="I114" s="113"/>
      <c r="J114" s="113">
        <v>500</v>
      </c>
      <c r="K114" s="113"/>
      <c r="L114" s="113"/>
      <c r="M114" s="113"/>
      <c r="N114" s="113">
        <v>500</v>
      </c>
      <c r="O114" s="163"/>
      <c r="Q114" s="82"/>
      <c r="R114" s="82"/>
      <c r="S114" s="82"/>
      <c r="T114" s="82"/>
      <c r="U114" s="82"/>
      <c r="V114" s="82">
        <v>500</v>
      </c>
      <c r="W114" s="82"/>
      <c r="X114" s="82"/>
      <c r="Y114" s="82"/>
      <c r="Z114" s="82"/>
    </row>
    <row r="115" spans="1:26" s="83" customFormat="1" ht="49.5">
      <c r="A115" s="114"/>
      <c r="B115" s="58" t="s">
        <v>782</v>
      </c>
      <c r="C115" s="64">
        <v>2018</v>
      </c>
      <c r="D115" s="109" t="s">
        <v>783</v>
      </c>
      <c r="E115" s="91">
        <v>3517</v>
      </c>
      <c r="F115" s="49"/>
      <c r="G115" s="164">
        <f>E115</f>
        <v>3517</v>
      </c>
      <c r="H115" s="144"/>
      <c r="I115" s="265">
        <f>1928.915+1500</f>
        <v>3428.915</v>
      </c>
      <c r="J115" s="265">
        <f>1928.915+1500</f>
        <v>3428.915</v>
      </c>
      <c r="K115" s="79">
        <v>3428.915</v>
      </c>
      <c r="L115" s="195">
        <f>1928.915+1500</f>
        <v>3428.915</v>
      </c>
      <c r="M115" s="195">
        <f>1928.915+1500</f>
        <v>3428.915</v>
      </c>
      <c r="N115" s="195">
        <f>1928.915+1500</f>
        <v>3428.915</v>
      </c>
      <c r="O115" s="195"/>
      <c r="P115" s="331"/>
      <c r="Q115" s="195"/>
      <c r="R115" s="195"/>
      <c r="S115" s="195"/>
      <c r="T115" s="195"/>
      <c r="U115" s="195"/>
      <c r="V115" s="195">
        <f>1928.915+1500</f>
        <v>3428.915</v>
      </c>
      <c r="W115" s="195"/>
      <c r="X115" s="195"/>
      <c r="Y115" s="195">
        <v>1928.915</v>
      </c>
      <c r="Z115" s="195"/>
    </row>
    <row r="116" spans="1:26" s="83" customFormat="1" ht="66">
      <c r="A116" s="114"/>
      <c r="B116" s="58" t="s">
        <v>784</v>
      </c>
      <c r="C116" s="64">
        <v>2016</v>
      </c>
      <c r="D116" s="109" t="s">
        <v>785</v>
      </c>
      <c r="E116" s="91">
        <v>3263</v>
      </c>
      <c r="F116" s="49"/>
      <c r="G116" s="164">
        <v>3263</v>
      </c>
      <c r="H116" s="144"/>
      <c r="I116" s="113">
        <f>1626.904+950</f>
        <v>2576.904</v>
      </c>
      <c r="J116" s="113">
        <v>950</v>
      </c>
      <c r="K116" s="113">
        <v>2892.692</v>
      </c>
      <c r="L116" s="113">
        <f>I116</f>
        <v>2576.904</v>
      </c>
      <c r="M116" s="113">
        <v>950</v>
      </c>
      <c r="N116" s="113">
        <v>950</v>
      </c>
      <c r="O116" s="163"/>
      <c r="P116" s="83">
        <v>1</v>
      </c>
      <c r="Q116" s="82"/>
      <c r="R116" s="82"/>
      <c r="S116" s="82"/>
      <c r="T116" s="82"/>
      <c r="U116" s="82"/>
      <c r="V116" s="82">
        <v>950</v>
      </c>
      <c r="W116" s="82"/>
      <c r="X116" s="82"/>
      <c r="Y116" s="82"/>
      <c r="Z116" s="82"/>
    </row>
    <row r="117" spans="1:26" s="83" customFormat="1" ht="49.5">
      <c r="A117" s="114"/>
      <c r="B117" s="58" t="s">
        <v>787</v>
      </c>
      <c r="C117" s="64"/>
      <c r="D117" s="109"/>
      <c r="E117" s="91"/>
      <c r="F117" s="49"/>
      <c r="G117" s="164"/>
      <c r="H117" s="144"/>
      <c r="I117" s="113"/>
      <c r="J117" s="113">
        <v>218.45400000000001</v>
      </c>
      <c r="K117" s="113"/>
      <c r="L117" s="113"/>
      <c r="M117" s="113">
        <v>218.45400000000001</v>
      </c>
      <c r="N117" s="113">
        <v>218.45400000000001</v>
      </c>
      <c r="O117" s="163"/>
      <c r="P117" s="83">
        <v>1</v>
      </c>
      <c r="Q117" s="82"/>
      <c r="R117" s="82"/>
      <c r="S117" s="82"/>
      <c r="T117" s="82"/>
      <c r="U117" s="82"/>
      <c r="V117" s="113">
        <v>218.45400000000001</v>
      </c>
      <c r="W117" s="113"/>
      <c r="X117" s="113"/>
      <c r="Y117" s="113"/>
      <c r="Z117" s="113"/>
    </row>
    <row r="118" spans="1:26" s="83" customFormat="1" ht="49.5">
      <c r="A118" s="114"/>
      <c r="B118" s="58" t="s">
        <v>788</v>
      </c>
      <c r="C118" s="64"/>
      <c r="D118" s="109"/>
      <c r="E118" s="91"/>
      <c r="F118" s="49"/>
      <c r="G118" s="164"/>
      <c r="H118" s="144"/>
      <c r="I118" s="113"/>
      <c r="J118" s="113">
        <v>701.76499999999999</v>
      </c>
      <c r="K118" s="113"/>
      <c r="L118" s="113"/>
      <c r="M118" s="113">
        <v>701.76499999999999</v>
      </c>
      <c r="N118" s="113">
        <v>701.76499999999999</v>
      </c>
      <c r="O118" s="163"/>
      <c r="Q118" s="82"/>
      <c r="R118" s="82"/>
      <c r="S118" s="82"/>
      <c r="T118" s="82"/>
      <c r="U118" s="82"/>
      <c r="V118" s="113">
        <v>701.76499999999999</v>
      </c>
      <c r="W118" s="113"/>
      <c r="X118" s="113"/>
      <c r="Y118" s="113"/>
      <c r="Z118" s="113"/>
    </row>
    <row r="119" spans="1:26" s="83" customFormat="1" ht="16.5">
      <c r="A119" s="114"/>
      <c r="B119" s="58" t="s">
        <v>792</v>
      </c>
      <c r="C119" s="64"/>
      <c r="D119" s="109"/>
      <c r="E119" s="91"/>
      <c r="F119" s="49"/>
      <c r="G119" s="164"/>
      <c r="H119" s="144"/>
      <c r="I119" s="113"/>
      <c r="J119" s="113">
        <v>450</v>
      </c>
      <c r="K119" s="113"/>
      <c r="L119" s="113"/>
      <c r="M119" s="113">
        <v>450</v>
      </c>
      <c r="N119" s="113">
        <v>450</v>
      </c>
      <c r="O119" s="163"/>
      <c r="Q119" s="82"/>
      <c r="R119" s="82"/>
      <c r="S119" s="82"/>
      <c r="T119" s="82"/>
      <c r="U119" s="82"/>
      <c r="V119" s="113"/>
      <c r="W119" s="113"/>
      <c r="X119" s="113">
        <v>450</v>
      </c>
      <c r="Y119" s="113"/>
      <c r="Z119" s="113"/>
    </row>
    <row r="120" spans="1:26" s="83" customFormat="1" ht="66">
      <c r="A120" s="114"/>
      <c r="B120" s="58" t="s">
        <v>815</v>
      </c>
      <c r="C120" s="64">
        <v>2020</v>
      </c>
      <c r="D120" s="109" t="s">
        <v>816</v>
      </c>
      <c r="E120" s="91">
        <v>1165.731</v>
      </c>
      <c r="F120" s="49"/>
      <c r="G120" s="164">
        <v>1165.731</v>
      </c>
      <c r="H120" s="144"/>
      <c r="I120" s="113">
        <v>1071.6020000000001</v>
      </c>
      <c r="J120" s="113">
        <v>1071.6020000000001</v>
      </c>
      <c r="K120" s="113"/>
      <c r="L120" s="113"/>
      <c r="M120" s="113">
        <v>1071.6020000000001</v>
      </c>
      <c r="N120" s="113">
        <v>1071.6020000000001</v>
      </c>
      <c r="O120" s="163"/>
      <c r="Q120" s="82"/>
      <c r="R120" s="82"/>
      <c r="S120" s="82"/>
      <c r="T120" s="82"/>
      <c r="U120" s="82"/>
      <c r="V120" s="113"/>
      <c r="W120" s="113"/>
      <c r="X120" s="113"/>
      <c r="Y120" s="113"/>
      <c r="Z120" s="113">
        <v>1200</v>
      </c>
    </row>
    <row r="121" spans="1:26" s="83" customFormat="1" ht="31.5">
      <c r="A121" s="114"/>
      <c r="B121" s="252" t="s">
        <v>757</v>
      </c>
      <c r="C121" s="64"/>
      <c r="D121" s="109"/>
      <c r="E121" s="91"/>
      <c r="F121" s="49"/>
      <c r="G121" s="164"/>
      <c r="H121" s="144"/>
      <c r="I121" s="113"/>
      <c r="J121" s="253">
        <v>600</v>
      </c>
      <c r="K121" s="113"/>
      <c r="L121" s="113"/>
      <c r="M121" s="253">
        <v>600</v>
      </c>
      <c r="N121" s="253">
        <v>600</v>
      </c>
      <c r="O121" s="163"/>
      <c r="P121" s="83">
        <v>1</v>
      </c>
      <c r="Q121" s="82"/>
      <c r="R121" s="82"/>
      <c r="S121" s="82"/>
      <c r="T121" s="82"/>
      <c r="U121" s="82"/>
      <c r="V121" s="82"/>
      <c r="W121" s="82"/>
      <c r="X121" s="82">
        <v>525</v>
      </c>
      <c r="Y121" s="82"/>
      <c r="Z121" s="82"/>
    </row>
    <row r="122" spans="1:26" s="83" customFormat="1" ht="82.5">
      <c r="A122" s="114"/>
      <c r="B122" s="252" t="s">
        <v>779</v>
      </c>
      <c r="C122" s="64">
        <v>2016</v>
      </c>
      <c r="D122" s="109" t="s">
        <v>780</v>
      </c>
      <c r="E122" s="91">
        <v>557.58900000000006</v>
      </c>
      <c r="F122" s="49">
        <v>500</v>
      </c>
      <c r="G122" s="164">
        <f>+E122-F122</f>
        <v>57.589000000000055</v>
      </c>
      <c r="H122" s="144"/>
      <c r="I122" s="113">
        <v>549.23699999999997</v>
      </c>
      <c r="J122" s="253">
        <v>49.237000000000002</v>
      </c>
      <c r="K122" s="113">
        <v>549.23699999999997</v>
      </c>
      <c r="L122" s="113">
        <v>549.23699999999997</v>
      </c>
      <c r="M122" s="253">
        <v>49.237000000000002</v>
      </c>
      <c r="N122" s="253">
        <v>49.237000000000002</v>
      </c>
      <c r="O122" s="163"/>
      <c r="P122" s="83">
        <v>1</v>
      </c>
      <c r="Q122" s="82"/>
      <c r="R122" s="82"/>
      <c r="S122" s="82"/>
      <c r="T122" s="82"/>
      <c r="U122" s="82"/>
      <c r="V122" s="82"/>
      <c r="W122" s="82"/>
      <c r="X122" s="82">
        <v>49.994999999999997</v>
      </c>
      <c r="Y122" s="82"/>
      <c r="Z122" s="82"/>
    </row>
    <row r="123" spans="1:26" s="83" customFormat="1" ht="47.25">
      <c r="A123" s="114"/>
      <c r="B123" s="252" t="s">
        <v>806</v>
      </c>
      <c r="C123" s="64"/>
      <c r="D123" s="109"/>
      <c r="E123" s="91"/>
      <c r="F123" s="49"/>
      <c r="G123" s="164"/>
      <c r="H123" s="144"/>
      <c r="I123" s="113"/>
      <c r="J123" s="82">
        <v>72.444000000000003</v>
      </c>
      <c r="K123" s="113"/>
      <c r="L123" s="113"/>
      <c r="M123" s="82">
        <v>72.444000000000003</v>
      </c>
      <c r="N123" s="82">
        <v>72.444000000000003</v>
      </c>
      <c r="O123" s="163"/>
      <c r="Q123" s="82"/>
      <c r="R123" s="82"/>
      <c r="S123" s="82"/>
      <c r="T123" s="82"/>
      <c r="U123" s="82"/>
      <c r="V123" s="82"/>
      <c r="W123" s="82"/>
      <c r="X123" s="82">
        <v>72.444000000000003</v>
      </c>
      <c r="Y123" s="82"/>
      <c r="Z123" s="82"/>
    </row>
    <row r="124" spans="1:26" s="83" customFormat="1" ht="16.5">
      <c r="A124" s="114"/>
      <c r="B124" s="58" t="s">
        <v>777</v>
      </c>
      <c r="C124" s="64"/>
      <c r="D124" s="109"/>
      <c r="E124" s="91"/>
      <c r="F124" s="49"/>
      <c r="G124" s="164"/>
      <c r="H124" s="144"/>
      <c r="I124" s="113"/>
      <c r="J124" s="113">
        <v>400</v>
      </c>
      <c r="K124" s="113"/>
      <c r="L124" s="113"/>
      <c r="M124" s="113">
        <v>400</v>
      </c>
      <c r="N124" s="113">
        <v>400</v>
      </c>
      <c r="O124" s="163"/>
      <c r="Q124" s="82"/>
      <c r="R124" s="82"/>
      <c r="S124" s="82"/>
      <c r="T124" s="82"/>
      <c r="U124" s="82"/>
      <c r="V124" s="82"/>
      <c r="W124" s="82"/>
      <c r="X124" s="82">
        <v>400</v>
      </c>
      <c r="Y124" s="82"/>
      <c r="Z124" s="82"/>
    </row>
    <row r="125" spans="1:26" s="83" customFormat="1" ht="66">
      <c r="A125" s="114"/>
      <c r="B125" s="58" t="s">
        <v>812</v>
      </c>
      <c r="C125" s="64"/>
      <c r="D125" s="109"/>
      <c r="E125" s="91"/>
      <c r="F125" s="49"/>
      <c r="G125" s="164"/>
      <c r="H125" s="144"/>
      <c r="I125" s="113"/>
      <c r="J125" s="113">
        <v>3000</v>
      </c>
      <c r="K125" s="113"/>
      <c r="L125" s="113"/>
      <c r="M125" s="113">
        <v>3000</v>
      </c>
      <c r="N125" s="113">
        <v>3000</v>
      </c>
      <c r="O125" s="163"/>
      <c r="Q125" s="82"/>
      <c r="R125" s="82"/>
      <c r="S125" s="82"/>
      <c r="T125" s="82"/>
      <c r="U125" s="82"/>
      <c r="V125" s="82"/>
      <c r="W125" s="82"/>
      <c r="X125" s="82">
        <v>3000</v>
      </c>
      <c r="Y125" s="82"/>
      <c r="Z125" s="82"/>
    </row>
    <row r="126" spans="1:26" s="83" customFormat="1" ht="33">
      <c r="A126" s="114"/>
      <c r="B126" s="58" t="s">
        <v>814</v>
      </c>
      <c r="C126" s="64"/>
      <c r="D126" s="109"/>
      <c r="E126" s="91"/>
      <c r="F126" s="49"/>
      <c r="G126" s="164"/>
      <c r="H126" s="144"/>
      <c r="I126" s="113"/>
      <c r="J126" s="113">
        <v>2000</v>
      </c>
      <c r="K126" s="113"/>
      <c r="L126" s="113"/>
      <c r="M126" s="113"/>
      <c r="N126" s="113"/>
      <c r="O126" s="163"/>
      <c r="Q126" s="82"/>
      <c r="R126" s="82"/>
      <c r="S126" s="82"/>
      <c r="T126" s="82"/>
      <c r="U126" s="82"/>
      <c r="V126" s="82"/>
      <c r="W126" s="82"/>
      <c r="X126" s="82"/>
      <c r="Y126" s="82"/>
      <c r="Z126" s="82">
        <v>2000</v>
      </c>
    </row>
    <row r="127" spans="1:26" s="83" customFormat="1" ht="82.5">
      <c r="A127" s="34" t="s">
        <v>744</v>
      </c>
      <c r="B127" s="75" t="s">
        <v>342</v>
      </c>
      <c r="C127" s="76" t="s">
        <v>343</v>
      </c>
      <c r="D127" s="76" t="s">
        <v>344</v>
      </c>
      <c r="E127" s="33">
        <v>3773</v>
      </c>
      <c r="F127" s="33">
        <v>2641</v>
      </c>
      <c r="G127" s="33">
        <f>E127-F127</f>
        <v>1132</v>
      </c>
      <c r="H127" s="33"/>
      <c r="I127" s="33">
        <v>3586</v>
      </c>
      <c r="J127" s="33">
        <v>1086</v>
      </c>
      <c r="K127" s="33">
        <v>3586</v>
      </c>
      <c r="L127" s="33">
        <v>3586</v>
      </c>
      <c r="M127" s="33">
        <v>1086</v>
      </c>
      <c r="N127" s="33">
        <v>1086</v>
      </c>
      <c r="O127" s="82"/>
      <c r="Q127" s="82"/>
      <c r="R127" s="82"/>
      <c r="S127" s="82"/>
      <c r="T127" s="82"/>
      <c r="U127" s="82"/>
      <c r="V127" s="82"/>
      <c r="W127" s="82"/>
      <c r="X127" s="82"/>
      <c r="Y127" s="82"/>
      <c r="Z127" s="82"/>
    </row>
    <row r="128" spans="1:26" s="210" customFormat="1" ht="33">
      <c r="A128" s="167" t="s">
        <v>29</v>
      </c>
      <c r="B128" s="266" t="s">
        <v>341</v>
      </c>
      <c r="C128" s="23"/>
      <c r="D128" s="168"/>
      <c r="E128" s="169">
        <f t="shared" ref="E128:N128" si="16">+E129+E137+E145+E147+E157+E180+E190+E195+E228+E246+E271+E276+E288+E303+E336+E342</f>
        <v>287464.77599999995</v>
      </c>
      <c r="F128" s="169">
        <f t="shared" si="16"/>
        <v>12213.7</v>
      </c>
      <c r="G128" s="169">
        <f t="shared" si="16"/>
        <v>82070.877899999992</v>
      </c>
      <c r="H128" s="169">
        <f t="shared" si="16"/>
        <v>144473.94410000002</v>
      </c>
      <c r="I128" s="169">
        <f t="shared" si="16"/>
        <v>231800.61100000003</v>
      </c>
      <c r="J128" s="169">
        <f t="shared" si="16"/>
        <v>107940.6189</v>
      </c>
      <c r="K128" s="169">
        <f t="shared" si="16"/>
        <v>252881.56899999999</v>
      </c>
      <c r="L128" s="169">
        <f t="shared" si="16"/>
        <v>207675.655</v>
      </c>
      <c r="M128" s="169">
        <f t="shared" si="16"/>
        <v>105312.83200000001</v>
      </c>
      <c r="N128" s="169">
        <f t="shared" si="16"/>
        <v>107940.6189</v>
      </c>
      <c r="O128" s="171"/>
      <c r="Q128" s="82"/>
      <c r="R128" s="82"/>
      <c r="S128" s="82"/>
      <c r="T128" s="82"/>
      <c r="U128" s="82"/>
      <c r="V128" s="82"/>
      <c r="W128" s="82"/>
      <c r="X128" s="82"/>
      <c r="Y128" s="82"/>
      <c r="Z128" s="82"/>
    </row>
    <row r="129" spans="1:26" s="210" customFormat="1" ht="16.5">
      <c r="A129" s="167" t="s">
        <v>20</v>
      </c>
      <c r="B129" s="266" t="s">
        <v>359</v>
      </c>
      <c r="C129" s="23"/>
      <c r="D129" s="168"/>
      <c r="E129" s="169">
        <f>SUM(E130:E136)</f>
        <v>7297</v>
      </c>
      <c r="F129" s="169">
        <f t="shared" ref="F129:N129" si="17">SUM(F130:F136)</f>
        <v>0</v>
      </c>
      <c r="G129" s="169">
        <f t="shared" si="17"/>
        <v>3465</v>
      </c>
      <c r="H129" s="169">
        <f t="shared" si="17"/>
        <v>3832</v>
      </c>
      <c r="I129" s="169">
        <f t="shared" si="17"/>
        <v>5954</v>
      </c>
      <c r="J129" s="169">
        <f t="shared" si="17"/>
        <v>3750</v>
      </c>
      <c r="K129" s="169">
        <f t="shared" si="17"/>
        <v>6484</v>
      </c>
      <c r="L129" s="169">
        <f t="shared" si="17"/>
        <v>5169</v>
      </c>
      <c r="M129" s="169">
        <f t="shared" si="17"/>
        <v>3397</v>
      </c>
      <c r="N129" s="169">
        <f t="shared" si="17"/>
        <v>3750</v>
      </c>
      <c r="O129" s="171"/>
      <c r="Q129" s="82"/>
      <c r="R129" s="82"/>
      <c r="S129" s="82"/>
      <c r="T129" s="82"/>
      <c r="U129" s="82"/>
      <c r="V129" s="82"/>
      <c r="W129" s="82"/>
      <c r="X129" s="82"/>
      <c r="Y129" s="82"/>
      <c r="Z129" s="82"/>
    </row>
    <row r="130" spans="1:26" s="83" customFormat="1" ht="49.5">
      <c r="A130" s="34" t="s">
        <v>21</v>
      </c>
      <c r="B130" s="58" t="s">
        <v>345</v>
      </c>
      <c r="C130" s="76">
        <v>2017</v>
      </c>
      <c r="D130" s="46" t="s">
        <v>346</v>
      </c>
      <c r="E130" s="33">
        <v>1254</v>
      </c>
      <c r="F130" s="33"/>
      <c r="G130" s="33">
        <v>400</v>
      </c>
      <c r="H130" s="33">
        <f>E130-G130</f>
        <v>854</v>
      </c>
      <c r="I130" s="33">
        <v>1105</v>
      </c>
      <c r="J130" s="33">
        <v>350</v>
      </c>
      <c r="K130" s="33">
        <v>1139</v>
      </c>
      <c r="L130" s="33">
        <f>M130</f>
        <v>350</v>
      </c>
      <c r="M130" s="33">
        <v>350</v>
      </c>
      <c r="N130" s="33">
        <v>350</v>
      </c>
      <c r="O130" s="82"/>
      <c r="Q130" s="82"/>
      <c r="R130" s="82"/>
      <c r="S130" s="82"/>
      <c r="T130" s="82"/>
      <c r="U130" s="82"/>
      <c r="V130" s="82"/>
      <c r="W130" s="82"/>
      <c r="X130" s="82"/>
      <c r="Y130" s="82"/>
      <c r="Z130" s="82"/>
    </row>
    <row r="131" spans="1:26" s="83" customFormat="1" ht="66">
      <c r="A131" s="34" t="s">
        <v>28</v>
      </c>
      <c r="B131" s="58" t="s">
        <v>347</v>
      </c>
      <c r="C131" s="76" t="s">
        <v>156</v>
      </c>
      <c r="D131" s="46" t="s">
        <v>348</v>
      </c>
      <c r="E131" s="33">
        <v>366</v>
      </c>
      <c r="F131" s="33"/>
      <c r="G131" s="33">
        <v>150</v>
      </c>
      <c r="H131" s="33">
        <f>E131-G131</f>
        <v>216</v>
      </c>
      <c r="I131" s="33">
        <v>329</v>
      </c>
      <c r="J131" s="33">
        <v>100</v>
      </c>
      <c r="K131" s="33">
        <v>366</v>
      </c>
      <c r="L131" s="33">
        <v>329</v>
      </c>
      <c r="M131" s="33">
        <v>100</v>
      </c>
      <c r="N131" s="33">
        <v>100</v>
      </c>
      <c r="O131" s="82"/>
      <c r="Q131" s="82"/>
      <c r="R131" s="82"/>
      <c r="S131" s="82"/>
      <c r="T131" s="82"/>
      <c r="U131" s="82"/>
      <c r="V131" s="82"/>
      <c r="W131" s="82"/>
      <c r="X131" s="82"/>
      <c r="Y131" s="82"/>
      <c r="Z131" s="82"/>
    </row>
    <row r="132" spans="1:26" s="83" customFormat="1" ht="66">
      <c r="A132" s="34" t="s">
        <v>24</v>
      </c>
      <c r="B132" s="58" t="s">
        <v>349</v>
      </c>
      <c r="C132" s="76">
        <v>2017</v>
      </c>
      <c r="D132" s="46" t="s">
        <v>350</v>
      </c>
      <c r="E132" s="33">
        <f>H132</f>
        <v>1010</v>
      </c>
      <c r="F132" s="33"/>
      <c r="G132" s="33"/>
      <c r="H132" s="33">
        <v>1010</v>
      </c>
      <c r="I132" s="33">
        <v>928</v>
      </c>
      <c r="J132" s="33">
        <v>100</v>
      </c>
      <c r="K132" s="33">
        <v>928</v>
      </c>
      <c r="L132" s="33">
        <v>928</v>
      </c>
      <c r="M132" s="33">
        <v>100</v>
      </c>
      <c r="N132" s="33">
        <v>100</v>
      </c>
      <c r="O132" s="82"/>
      <c r="Q132" s="82"/>
      <c r="R132" s="82"/>
      <c r="S132" s="82"/>
      <c r="T132" s="82"/>
      <c r="U132" s="82"/>
      <c r="V132" s="82"/>
      <c r="W132" s="82"/>
      <c r="X132" s="82"/>
      <c r="Y132" s="82"/>
      <c r="Z132" s="82"/>
    </row>
    <row r="133" spans="1:26" s="83" customFormat="1" ht="66">
      <c r="A133" s="34" t="s">
        <v>25</v>
      </c>
      <c r="B133" s="58" t="s">
        <v>351</v>
      </c>
      <c r="C133" s="76">
        <v>2019</v>
      </c>
      <c r="D133" s="46" t="s">
        <v>352</v>
      </c>
      <c r="E133" s="33">
        <f>G133</f>
        <v>1715</v>
      </c>
      <c r="F133" s="33"/>
      <c r="G133" s="33">
        <v>1715</v>
      </c>
      <c r="H133" s="33"/>
      <c r="I133" s="33">
        <f>1350+30</f>
        <v>1380</v>
      </c>
      <c r="J133" s="33">
        <f>850+500</f>
        <v>1350</v>
      </c>
      <c r="K133" s="33">
        <v>1627</v>
      </c>
      <c r="L133" s="33">
        <f>M133</f>
        <v>1350</v>
      </c>
      <c r="M133" s="33">
        <v>1350</v>
      </c>
      <c r="N133" s="33">
        <v>1350</v>
      </c>
      <c r="O133" s="82"/>
      <c r="P133" s="83">
        <v>1</v>
      </c>
      <c r="Q133" s="82"/>
      <c r="R133" s="82"/>
      <c r="S133" s="82"/>
      <c r="T133" s="82"/>
      <c r="U133" s="82"/>
      <c r="V133" s="82"/>
      <c r="W133" s="82"/>
      <c r="X133" s="82">
        <v>500</v>
      </c>
      <c r="Y133" s="82"/>
      <c r="Z133" s="82"/>
    </row>
    <row r="134" spans="1:26" s="83" customFormat="1" ht="49.5">
      <c r="A134" s="34" t="s">
        <v>26</v>
      </c>
      <c r="B134" s="58" t="s">
        <v>353</v>
      </c>
      <c r="C134" s="76">
        <v>2017</v>
      </c>
      <c r="D134" s="46" t="s">
        <v>354</v>
      </c>
      <c r="E134" s="33">
        <v>1097</v>
      </c>
      <c r="F134" s="33"/>
      <c r="G134" s="33"/>
      <c r="H134" s="33">
        <v>1097</v>
      </c>
      <c r="I134" s="33">
        <v>500</v>
      </c>
      <c r="J134" s="33">
        <v>500</v>
      </c>
      <c r="K134" s="33">
        <v>712</v>
      </c>
      <c r="L134" s="33">
        <f>M134</f>
        <v>500</v>
      </c>
      <c r="M134" s="33">
        <v>500</v>
      </c>
      <c r="N134" s="33">
        <v>500</v>
      </c>
      <c r="O134" s="82"/>
      <c r="Q134" s="82"/>
      <c r="R134" s="82"/>
      <c r="S134" s="82"/>
      <c r="T134" s="82"/>
      <c r="U134" s="82"/>
      <c r="V134" s="82"/>
      <c r="W134" s="82"/>
      <c r="X134" s="82">
        <v>500</v>
      </c>
      <c r="Y134" s="82"/>
      <c r="Z134" s="82"/>
    </row>
    <row r="135" spans="1:26" s="83" customFormat="1" ht="49.5">
      <c r="A135" s="34" t="s">
        <v>27</v>
      </c>
      <c r="B135" s="58" t="s">
        <v>355</v>
      </c>
      <c r="C135" s="76" t="s">
        <v>219</v>
      </c>
      <c r="D135" s="46" t="s">
        <v>356</v>
      </c>
      <c r="E135" s="33">
        <v>1173</v>
      </c>
      <c r="F135" s="33"/>
      <c r="G135" s="33">
        <v>700</v>
      </c>
      <c r="H135" s="33">
        <f>E135-G135</f>
        <v>473</v>
      </c>
      <c r="I135" s="33">
        <v>1067</v>
      </c>
      <c r="J135" s="33">
        <f>700+150</f>
        <v>850</v>
      </c>
      <c r="K135" s="33">
        <v>1067</v>
      </c>
      <c r="L135" s="33">
        <v>1067</v>
      </c>
      <c r="M135" s="33">
        <v>700</v>
      </c>
      <c r="N135" s="33">
        <v>850</v>
      </c>
      <c r="O135" s="82"/>
      <c r="Q135" s="82"/>
      <c r="R135" s="82"/>
      <c r="S135" s="82"/>
      <c r="T135" s="82"/>
      <c r="U135" s="82"/>
      <c r="V135" s="82"/>
      <c r="W135" s="82"/>
      <c r="X135" s="82" t="s">
        <v>324</v>
      </c>
      <c r="Y135" s="82"/>
      <c r="Z135" s="82"/>
    </row>
    <row r="136" spans="1:26" s="83" customFormat="1" ht="66">
      <c r="A136" s="34" t="s">
        <v>47</v>
      </c>
      <c r="B136" s="58" t="s">
        <v>357</v>
      </c>
      <c r="C136" s="76">
        <v>2020</v>
      </c>
      <c r="D136" s="46" t="s">
        <v>358</v>
      </c>
      <c r="E136" s="33">
        <v>682</v>
      </c>
      <c r="F136" s="33"/>
      <c r="G136" s="33">
        <v>500</v>
      </c>
      <c r="H136" s="33">
        <f>E136-G136</f>
        <v>182</v>
      </c>
      <c r="I136" s="33">
        <v>645</v>
      </c>
      <c r="J136" s="33">
        <v>500</v>
      </c>
      <c r="K136" s="33">
        <v>645</v>
      </c>
      <c r="L136" s="33">
        <v>645</v>
      </c>
      <c r="M136" s="33">
        <v>297</v>
      </c>
      <c r="N136" s="33">
        <v>500</v>
      </c>
      <c r="O136" s="82"/>
      <c r="Q136" s="82"/>
      <c r="R136" s="82"/>
      <c r="S136" s="82"/>
      <c r="T136" s="82"/>
      <c r="U136" s="82"/>
      <c r="V136" s="82"/>
      <c r="W136" s="82"/>
      <c r="X136" s="82"/>
      <c r="Y136" s="82"/>
      <c r="Z136" s="82"/>
    </row>
    <row r="137" spans="1:26" s="210" customFormat="1" ht="16.5">
      <c r="A137" s="167" t="s">
        <v>23</v>
      </c>
      <c r="B137" s="266" t="s">
        <v>374</v>
      </c>
      <c r="C137" s="23"/>
      <c r="D137" s="168"/>
      <c r="E137" s="169">
        <f>SUM(E138:E144)</f>
        <v>17432</v>
      </c>
      <c r="F137" s="169">
        <f t="shared" ref="F137:N137" si="18">SUM(F138:F144)</f>
        <v>0</v>
      </c>
      <c r="G137" s="169">
        <f t="shared" si="18"/>
        <v>10000</v>
      </c>
      <c r="H137" s="169">
        <f t="shared" si="18"/>
        <v>7432</v>
      </c>
      <c r="I137" s="169">
        <f t="shared" si="18"/>
        <v>10100</v>
      </c>
      <c r="J137" s="169">
        <f t="shared" si="18"/>
        <v>8876</v>
      </c>
      <c r="K137" s="169">
        <f t="shared" si="18"/>
        <v>15785</v>
      </c>
      <c r="L137" s="169">
        <f t="shared" si="18"/>
        <v>10100</v>
      </c>
      <c r="M137" s="169">
        <f t="shared" si="18"/>
        <v>8876</v>
      </c>
      <c r="N137" s="169">
        <f t="shared" si="18"/>
        <v>8876</v>
      </c>
      <c r="O137" s="171"/>
      <c r="Q137" s="82"/>
      <c r="R137" s="82"/>
      <c r="S137" s="82"/>
      <c r="T137" s="82"/>
      <c r="U137" s="82"/>
      <c r="V137" s="82"/>
      <c r="W137" s="82"/>
      <c r="X137" s="82"/>
      <c r="Y137" s="82"/>
      <c r="Z137" s="82"/>
    </row>
    <row r="138" spans="1:26" s="83" customFormat="1" ht="49.5">
      <c r="A138" s="34" t="s">
        <v>21</v>
      </c>
      <c r="B138" s="58" t="s">
        <v>360</v>
      </c>
      <c r="C138" s="76" t="s">
        <v>365</v>
      </c>
      <c r="D138" s="46" t="s">
        <v>361</v>
      </c>
      <c r="E138" s="33">
        <v>1203</v>
      </c>
      <c r="F138" s="33">
        <v>0</v>
      </c>
      <c r="G138" s="33">
        <v>700</v>
      </c>
      <c r="H138" s="33">
        <f t="shared" ref="H138:H144" si="19">E138-G138</f>
        <v>503</v>
      </c>
      <c r="I138" s="33">
        <v>700</v>
      </c>
      <c r="J138" s="33">
        <v>700</v>
      </c>
      <c r="K138" s="33">
        <v>1044</v>
      </c>
      <c r="L138" s="33">
        <v>700</v>
      </c>
      <c r="M138" s="33">
        <v>700</v>
      </c>
      <c r="N138" s="33">
        <v>700</v>
      </c>
      <c r="O138" s="82"/>
      <c r="Q138" s="82"/>
      <c r="R138" s="82"/>
      <c r="S138" s="82"/>
      <c r="T138" s="82"/>
      <c r="U138" s="82"/>
      <c r="V138" s="82"/>
      <c r="W138" s="82"/>
      <c r="X138" s="82">
        <v>350</v>
      </c>
      <c r="Y138" s="82"/>
      <c r="Z138" s="82"/>
    </row>
    <row r="139" spans="1:26" s="83" customFormat="1" ht="49.5">
      <c r="A139" s="34" t="s">
        <v>28</v>
      </c>
      <c r="B139" s="58" t="s">
        <v>362</v>
      </c>
      <c r="C139" s="76" t="s">
        <v>206</v>
      </c>
      <c r="D139" s="46" t="s">
        <v>363</v>
      </c>
      <c r="E139" s="33">
        <v>2813</v>
      </c>
      <c r="F139" s="33">
        <v>0</v>
      </c>
      <c r="G139" s="33">
        <v>1600</v>
      </c>
      <c r="H139" s="33">
        <f t="shared" si="19"/>
        <v>1213</v>
      </c>
      <c r="I139" s="33">
        <v>1600</v>
      </c>
      <c r="J139" s="33">
        <v>1600</v>
      </c>
      <c r="K139" s="33">
        <v>2535</v>
      </c>
      <c r="L139" s="33">
        <v>1600</v>
      </c>
      <c r="M139" s="33">
        <v>1600</v>
      </c>
      <c r="N139" s="33">
        <v>1600</v>
      </c>
      <c r="O139" s="82"/>
      <c r="Q139" s="82"/>
      <c r="R139" s="82"/>
      <c r="S139" s="82"/>
      <c r="T139" s="82"/>
      <c r="U139" s="82"/>
      <c r="V139" s="82"/>
      <c r="W139" s="82"/>
      <c r="X139" s="82">
        <v>700</v>
      </c>
      <c r="Y139" s="82"/>
      <c r="Z139" s="82"/>
    </row>
    <row r="140" spans="1:26" s="83" customFormat="1" ht="49.5">
      <c r="A140" s="34" t="s">
        <v>24</v>
      </c>
      <c r="B140" s="58" t="s">
        <v>364</v>
      </c>
      <c r="C140" s="76" t="s">
        <v>365</v>
      </c>
      <c r="D140" s="46" t="s">
        <v>366</v>
      </c>
      <c r="E140" s="33">
        <v>2989</v>
      </c>
      <c r="F140" s="33">
        <v>0</v>
      </c>
      <c r="G140" s="33">
        <v>1200</v>
      </c>
      <c r="H140" s="33">
        <f t="shared" si="19"/>
        <v>1789</v>
      </c>
      <c r="I140" s="33">
        <v>1300</v>
      </c>
      <c r="J140" s="33">
        <v>1300</v>
      </c>
      <c r="K140" s="33">
        <v>2859</v>
      </c>
      <c r="L140" s="33">
        <v>1300</v>
      </c>
      <c r="M140" s="33">
        <v>1300</v>
      </c>
      <c r="N140" s="33">
        <v>1300</v>
      </c>
      <c r="O140" s="82"/>
      <c r="P140" s="83">
        <v>1</v>
      </c>
      <c r="Q140" s="82"/>
      <c r="R140" s="82"/>
      <c r="S140" s="82"/>
      <c r="T140" s="82"/>
      <c r="U140" s="82"/>
      <c r="V140" s="82"/>
      <c r="W140" s="82"/>
      <c r="X140" s="82">
        <v>1300</v>
      </c>
      <c r="Y140" s="82"/>
      <c r="Z140" s="82"/>
    </row>
    <row r="141" spans="1:26" s="83" customFormat="1" ht="49.5">
      <c r="A141" s="34" t="s">
        <v>25</v>
      </c>
      <c r="B141" s="58" t="s">
        <v>367</v>
      </c>
      <c r="C141" s="76" t="s">
        <v>368</v>
      </c>
      <c r="D141" s="46" t="s">
        <v>369</v>
      </c>
      <c r="E141" s="33">
        <v>2917</v>
      </c>
      <c r="F141" s="33">
        <v>0</v>
      </c>
      <c r="G141" s="33">
        <v>1000</v>
      </c>
      <c r="H141" s="33">
        <f t="shared" si="19"/>
        <v>1917</v>
      </c>
      <c r="I141" s="33">
        <v>1000</v>
      </c>
      <c r="J141" s="33">
        <v>1000</v>
      </c>
      <c r="K141" s="33">
        <v>2314</v>
      </c>
      <c r="L141" s="33">
        <v>1000</v>
      </c>
      <c r="M141" s="33">
        <v>1000</v>
      </c>
      <c r="N141" s="33">
        <v>1000</v>
      </c>
      <c r="O141" s="82"/>
      <c r="P141" s="83">
        <v>1</v>
      </c>
      <c r="Q141" s="82"/>
      <c r="R141" s="82"/>
      <c r="S141" s="82"/>
      <c r="T141" s="82"/>
      <c r="U141" s="82"/>
      <c r="V141" s="82"/>
      <c r="W141" s="82"/>
      <c r="X141" s="82"/>
      <c r="Y141" s="82"/>
      <c r="Z141" s="82"/>
    </row>
    <row r="142" spans="1:26" s="83" customFormat="1" ht="33">
      <c r="A142" s="34" t="s">
        <v>26</v>
      </c>
      <c r="B142" s="58" t="s">
        <v>370</v>
      </c>
      <c r="C142" s="76" t="s">
        <v>246</v>
      </c>
      <c r="D142" s="46" t="s">
        <v>371</v>
      </c>
      <c r="E142" s="33">
        <v>4540</v>
      </c>
      <c r="F142" s="33">
        <v>0</v>
      </c>
      <c r="G142" s="33">
        <v>3000</v>
      </c>
      <c r="H142" s="33">
        <f t="shared" si="19"/>
        <v>1540</v>
      </c>
      <c r="I142" s="33">
        <v>3000</v>
      </c>
      <c r="J142" s="33">
        <v>2120</v>
      </c>
      <c r="K142" s="33">
        <v>4240</v>
      </c>
      <c r="L142" s="33">
        <v>3000</v>
      </c>
      <c r="M142" s="33">
        <v>2120</v>
      </c>
      <c r="N142" s="33">
        <v>2120</v>
      </c>
      <c r="O142" s="82"/>
      <c r="Q142" s="82"/>
      <c r="R142" s="82"/>
      <c r="S142" s="82"/>
      <c r="T142" s="82"/>
      <c r="U142" s="82"/>
      <c r="V142" s="82"/>
      <c r="W142" s="82"/>
      <c r="X142" s="82"/>
      <c r="Y142" s="82"/>
      <c r="Z142" s="82"/>
    </row>
    <row r="143" spans="1:26" s="83" customFormat="1" ht="49.5">
      <c r="A143" s="34"/>
      <c r="B143" s="58" t="s">
        <v>758</v>
      </c>
      <c r="C143" s="76"/>
      <c r="D143" s="46"/>
      <c r="E143" s="33"/>
      <c r="F143" s="33"/>
      <c r="G143" s="33"/>
      <c r="H143" s="33"/>
      <c r="I143" s="33"/>
      <c r="J143" s="33">
        <v>300</v>
      </c>
      <c r="K143" s="33"/>
      <c r="L143" s="33"/>
      <c r="M143" s="33">
        <v>300</v>
      </c>
      <c r="N143" s="33">
        <v>300</v>
      </c>
      <c r="O143" s="82"/>
      <c r="Q143" s="82"/>
      <c r="R143" s="82"/>
      <c r="S143" s="82"/>
      <c r="T143" s="82"/>
      <c r="U143" s="82"/>
      <c r="V143" s="82"/>
      <c r="W143" s="82"/>
      <c r="X143" s="82">
        <v>300</v>
      </c>
      <c r="Y143" s="82"/>
      <c r="Z143" s="82"/>
    </row>
    <row r="144" spans="1:26" s="83" customFormat="1" ht="49.5">
      <c r="A144" s="34" t="s">
        <v>27</v>
      </c>
      <c r="B144" s="58" t="s">
        <v>372</v>
      </c>
      <c r="C144" s="76" t="s">
        <v>246</v>
      </c>
      <c r="D144" s="46" t="s">
        <v>373</v>
      </c>
      <c r="E144" s="33">
        <v>2970</v>
      </c>
      <c r="F144" s="33">
        <v>0</v>
      </c>
      <c r="G144" s="33">
        <v>2500</v>
      </c>
      <c r="H144" s="33">
        <f t="shared" si="19"/>
        <v>470</v>
      </c>
      <c r="I144" s="33">
        <v>2500</v>
      </c>
      <c r="J144" s="33">
        <v>1856</v>
      </c>
      <c r="K144" s="33">
        <v>2793</v>
      </c>
      <c r="L144" s="33">
        <v>2500</v>
      </c>
      <c r="M144" s="33">
        <f>1356+500</f>
        <v>1856</v>
      </c>
      <c r="N144" s="33">
        <v>1856</v>
      </c>
      <c r="O144" s="82"/>
      <c r="P144" s="83">
        <v>1</v>
      </c>
      <c r="Q144" s="82"/>
      <c r="R144" s="82"/>
      <c r="S144" s="82"/>
      <c r="T144" s="82"/>
      <c r="U144" s="82"/>
      <c r="V144" s="82"/>
      <c r="W144" s="82"/>
      <c r="X144" s="82"/>
      <c r="Y144" s="82"/>
      <c r="Z144" s="82"/>
    </row>
    <row r="145" spans="1:26" s="210" customFormat="1" ht="16.5">
      <c r="A145" s="167" t="s">
        <v>98</v>
      </c>
      <c r="B145" s="266" t="s">
        <v>378</v>
      </c>
      <c r="C145" s="23"/>
      <c r="D145" s="168"/>
      <c r="E145" s="169">
        <f>SUM(E146)</f>
        <v>3827</v>
      </c>
      <c r="F145" s="169">
        <f t="shared" ref="F145:N145" si="20">SUM(F146)</f>
        <v>0</v>
      </c>
      <c r="G145" s="169">
        <f t="shared" si="20"/>
        <v>1500</v>
      </c>
      <c r="H145" s="169">
        <f t="shared" si="20"/>
        <v>2327</v>
      </c>
      <c r="I145" s="169">
        <f t="shared" si="20"/>
        <v>3389</v>
      </c>
      <c r="J145" s="169">
        <f t="shared" si="20"/>
        <v>1500</v>
      </c>
      <c r="K145" s="169">
        <f t="shared" si="20"/>
        <v>3472</v>
      </c>
      <c r="L145" s="169">
        <f t="shared" si="20"/>
        <v>3389</v>
      </c>
      <c r="M145" s="169">
        <f t="shared" si="20"/>
        <v>1500</v>
      </c>
      <c r="N145" s="169">
        <f t="shared" si="20"/>
        <v>1500</v>
      </c>
      <c r="O145" s="171"/>
      <c r="Q145" s="82"/>
      <c r="R145" s="82"/>
      <c r="S145" s="82"/>
      <c r="T145" s="82"/>
      <c r="U145" s="82"/>
      <c r="V145" s="82"/>
      <c r="W145" s="82"/>
      <c r="X145" s="82"/>
      <c r="Y145" s="82"/>
      <c r="Z145" s="82"/>
    </row>
    <row r="146" spans="1:26" s="83" customFormat="1" ht="82.5">
      <c r="A146" s="34" t="s">
        <v>21</v>
      </c>
      <c r="B146" s="58" t="s">
        <v>375</v>
      </c>
      <c r="C146" s="76" t="s">
        <v>376</v>
      </c>
      <c r="D146" s="46" t="s">
        <v>377</v>
      </c>
      <c r="E146" s="33">
        <v>3827</v>
      </c>
      <c r="F146" s="33"/>
      <c r="G146" s="33">
        <v>1500</v>
      </c>
      <c r="H146" s="33">
        <v>2327</v>
      </c>
      <c r="I146" s="33">
        <v>3389</v>
      </c>
      <c r="J146" s="33">
        <v>1500</v>
      </c>
      <c r="K146" s="33">
        <v>3472</v>
      </c>
      <c r="L146" s="33">
        <v>3389</v>
      </c>
      <c r="M146" s="33">
        <v>1500</v>
      </c>
      <c r="N146" s="33">
        <v>1500</v>
      </c>
      <c r="O146" s="82"/>
      <c r="Q146" s="82"/>
      <c r="R146" s="82"/>
      <c r="S146" s="82"/>
      <c r="T146" s="82"/>
      <c r="U146" s="82"/>
      <c r="V146" s="82"/>
      <c r="W146" s="82"/>
      <c r="X146" s="82"/>
      <c r="Y146" s="82"/>
      <c r="Z146" s="82"/>
    </row>
    <row r="147" spans="1:26" s="210" customFormat="1" ht="16.5">
      <c r="A147" s="167" t="s">
        <v>100</v>
      </c>
      <c r="B147" s="266" t="s">
        <v>397</v>
      </c>
      <c r="C147" s="23"/>
      <c r="D147" s="168"/>
      <c r="E147" s="169">
        <f>+E148+E150+E151</f>
        <v>12487</v>
      </c>
      <c r="F147" s="169">
        <f t="shared" ref="F147:N147" si="21">+F148+F150+F151</f>
        <v>2780</v>
      </c>
      <c r="G147" s="169">
        <f t="shared" si="21"/>
        <v>3627</v>
      </c>
      <c r="H147" s="169">
        <f t="shared" si="21"/>
        <v>6080</v>
      </c>
      <c r="I147" s="169">
        <f t="shared" si="21"/>
        <v>11486</v>
      </c>
      <c r="J147" s="169">
        <f t="shared" si="21"/>
        <v>3627</v>
      </c>
      <c r="K147" s="169">
        <f t="shared" si="21"/>
        <v>11393</v>
      </c>
      <c r="L147" s="169">
        <f t="shared" si="21"/>
        <v>11788</v>
      </c>
      <c r="M147" s="169">
        <f t="shared" si="21"/>
        <v>3627</v>
      </c>
      <c r="N147" s="169">
        <f t="shared" si="21"/>
        <v>3627</v>
      </c>
      <c r="O147" s="171"/>
      <c r="Q147" s="82"/>
      <c r="R147" s="82"/>
      <c r="S147" s="82"/>
      <c r="T147" s="82"/>
      <c r="U147" s="82"/>
      <c r="V147" s="82"/>
      <c r="W147" s="82"/>
      <c r="X147" s="82"/>
      <c r="Y147" s="82"/>
      <c r="Z147" s="82"/>
    </row>
    <row r="148" spans="1:26" s="210" customFormat="1" ht="49.5">
      <c r="A148" s="246"/>
      <c r="B148" s="73" t="s">
        <v>379</v>
      </c>
      <c r="C148" s="247"/>
      <c r="D148" s="247"/>
      <c r="E148" s="37">
        <f t="shared" ref="E148:N148" si="22">E149</f>
        <v>1257</v>
      </c>
      <c r="F148" s="37">
        <f t="shared" si="22"/>
        <v>920</v>
      </c>
      <c r="G148" s="37">
        <f t="shared" si="22"/>
        <v>127</v>
      </c>
      <c r="H148" s="37">
        <f t="shared" si="22"/>
        <v>210</v>
      </c>
      <c r="I148" s="37">
        <f t="shared" si="22"/>
        <v>1252</v>
      </c>
      <c r="J148" s="37">
        <f t="shared" si="22"/>
        <v>127</v>
      </c>
      <c r="K148" s="37">
        <f t="shared" si="22"/>
        <v>1257</v>
      </c>
      <c r="L148" s="37">
        <f t="shared" si="22"/>
        <v>1252</v>
      </c>
      <c r="M148" s="37">
        <f t="shared" si="22"/>
        <v>127</v>
      </c>
      <c r="N148" s="37">
        <f t="shared" si="22"/>
        <v>127</v>
      </c>
      <c r="O148" s="211"/>
      <c r="Q148" s="82"/>
      <c r="R148" s="82"/>
      <c r="S148" s="82"/>
      <c r="T148" s="82"/>
      <c r="U148" s="82"/>
      <c r="V148" s="82"/>
      <c r="W148" s="82"/>
      <c r="X148" s="82"/>
      <c r="Y148" s="82"/>
      <c r="Z148" s="82"/>
    </row>
    <row r="149" spans="1:26" s="210" customFormat="1" ht="99">
      <c r="A149" s="34" t="s">
        <v>21</v>
      </c>
      <c r="B149" s="75" t="s">
        <v>380</v>
      </c>
      <c r="C149" s="76" t="s">
        <v>381</v>
      </c>
      <c r="D149" s="76" t="s">
        <v>382</v>
      </c>
      <c r="E149" s="33">
        <f>F149+G149+H149</f>
        <v>1257</v>
      </c>
      <c r="F149" s="33">
        <f>60+270+301+200+89</f>
        <v>920</v>
      </c>
      <c r="G149" s="33">
        <v>127</v>
      </c>
      <c r="H149" s="33">
        <f>1257-F149-G149</f>
        <v>210</v>
      </c>
      <c r="I149" s="33">
        <v>1252</v>
      </c>
      <c r="J149" s="33">
        <v>127</v>
      </c>
      <c r="K149" s="33">
        <v>1257</v>
      </c>
      <c r="L149" s="33">
        <v>1252</v>
      </c>
      <c r="M149" s="33">
        <v>127</v>
      </c>
      <c r="N149" s="33">
        <v>127</v>
      </c>
      <c r="O149" s="77" t="s">
        <v>383</v>
      </c>
      <c r="Q149" s="82"/>
      <c r="R149" s="82"/>
      <c r="S149" s="82"/>
      <c r="T149" s="82"/>
      <c r="U149" s="82"/>
      <c r="V149" s="82"/>
      <c r="W149" s="82"/>
      <c r="X149" s="82">
        <v>127.518</v>
      </c>
      <c r="Y149" s="82"/>
      <c r="Z149" s="82"/>
    </row>
    <row r="150" spans="1:26" s="210" customFormat="1" ht="33">
      <c r="A150" s="246"/>
      <c r="B150" s="22" t="s">
        <v>141</v>
      </c>
      <c r="C150" s="23"/>
      <c r="D150" s="24"/>
      <c r="E150" s="25"/>
      <c r="F150" s="25"/>
      <c r="G150" s="25"/>
      <c r="H150" s="25"/>
      <c r="I150" s="25"/>
      <c r="J150" s="25"/>
      <c r="K150" s="25"/>
      <c r="L150" s="25"/>
      <c r="M150" s="25"/>
      <c r="N150" s="25"/>
      <c r="O150" s="211"/>
      <c r="Q150" s="82"/>
      <c r="R150" s="82"/>
      <c r="S150" s="82"/>
      <c r="T150" s="82"/>
      <c r="U150" s="82"/>
      <c r="V150" s="82"/>
      <c r="W150" s="82"/>
      <c r="X150" s="82"/>
      <c r="Y150" s="82"/>
      <c r="Z150" s="82"/>
    </row>
    <row r="151" spans="1:26" s="210" customFormat="1" ht="33">
      <c r="A151" s="246"/>
      <c r="B151" s="22" t="s">
        <v>335</v>
      </c>
      <c r="C151" s="23"/>
      <c r="D151" s="24"/>
      <c r="E151" s="25">
        <f>SUM(E152:E156)</f>
        <v>11230</v>
      </c>
      <c r="F151" s="25">
        <f t="shared" ref="F151:N151" si="23">SUM(F152:F156)</f>
        <v>1860</v>
      </c>
      <c r="G151" s="25">
        <f t="shared" si="23"/>
        <v>3500</v>
      </c>
      <c r="H151" s="25">
        <f t="shared" si="23"/>
        <v>5870</v>
      </c>
      <c r="I151" s="25">
        <f t="shared" si="23"/>
        <v>10234</v>
      </c>
      <c r="J151" s="25">
        <f t="shared" si="23"/>
        <v>3500</v>
      </c>
      <c r="K151" s="25">
        <f t="shared" si="23"/>
        <v>10136</v>
      </c>
      <c r="L151" s="25">
        <f t="shared" si="23"/>
        <v>10536</v>
      </c>
      <c r="M151" s="25">
        <f t="shared" si="23"/>
        <v>3500</v>
      </c>
      <c r="N151" s="25">
        <f t="shared" si="23"/>
        <v>3500</v>
      </c>
      <c r="O151" s="211"/>
      <c r="Q151" s="82"/>
      <c r="R151" s="82"/>
      <c r="S151" s="82"/>
      <c r="T151" s="82"/>
      <c r="U151" s="82"/>
      <c r="V151" s="82"/>
      <c r="W151" s="82"/>
      <c r="X151" s="82"/>
      <c r="Y151" s="82"/>
      <c r="Z151" s="82"/>
    </row>
    <row r="152" spans="1:26" s="210" customFormat="1" ht="66">
      <c r="A152" s="34" t="s">
        <v>21</v>
      </c>
      <c r="B152" s="75" t="s">
        <v>384</v>
      </c>
      <c r="C152" s="76" t="s">
        <v>385</v>
      </c>
      <c r="D152" s="76" t="s">
        <v>386</v>
      </c>
      <c r="E152" s="33">
        <f>F152+G152+H152</f>
        <v>4698</v>
      </c>
      <c r="F152" s="33">
        <f>200+59+700+180</f>
        <v>1139</v>
      </c>
      <c r="G152" s="33">
        <v>1000</v>
      </c>
      <c r="H152" s="33">
        <f>4698-F152-G152</f>
        <v>2559</v>
      </c>
      <c r="I152" s="33">
        <v>4527</v>
      </c>
      <c r="J152" s="33">
        <v>1000</v>
      </c>
      <c r="K152" s="33">
        <v>4527</v>
      </c>
      <c r="L152" s="33">
        <v>4527</v>
      </c>
      <c r="M152" s="33">
        <v>1000</v>
      </c>
      <c r="N152" s="33">
        <v>1000</v>
      </c>
      <c r="O152" s="77" t="s">
        <v>383</v>
      </c>
      <c r="P152" s="210">
        <v>1</v>
      </c>
      <c r="Q152" s="82"/>
      <c r="R152" s="82"/>
      <c r="S152" s="82"/>
      <c r="T152" s="82"/>
      <c r="U152" s="82"/>
      <c r="V152" s="82"/>
      <c r="W152" s="82"/>
      <c r="X152" s="82">
        <v>500</v>
      </c>
      <c r="Y152" s="82"/>
      <c r="Z152" s="82"/>
    </row>
    <row r="153" spans="1:26" s="210" customFormat="1" ht="66">
      <c r="A153" s="34" t="s">
        <v>28</v>
      </c>
      <c r="B153" s="75" t="s">
        <v>387</v>
      </c>
      <c r="C153" s="76" t="s">
        <v>388</v>
      </c>
      <c r="D153" s="76" t="s">
        <v>389</v>
      </c>
      <c r="E153" s="33">
        <f>F153+G153+H153</f>
        <v>982</v>
      </c>
      <c r="F153" s="33">
        <v>0</v>
      </c>
      <c r="G153" s="33">
        <v>500</v>
      </c>
      <c r="H153" s="33">
        <f>982-F153-G153</f>
        <v>482</v>
      </c>
      <c r="I153" s="33">
        <v>700</v>
      </c>
      <c r="J153" s="33">
        <v>500</v>
      </c>
      <c r="K153" s="33">
        <v>982</v>
      </c>
      <c r="L153" s="33">
        <v>700</v>
      </c>
      <c r="M153" s="33">
        <v>500</v>
      </c>
      <c r="N153" s="33">
        <v>500</v>
      </c>
      <c r="O153" s="77" t="s">
        <v>383</v>
      </c>
      <c r="Q153" s="82"/>
      <c r="R153" s="82"/>
      <c r="S153" s="82"/>
      <c r="T153" s="82"/>
      <c r="U153" s="82"/>
      <c r="V153" s="82"/>
      <c r="W153" s="82"/>
      <c r="X153" s="82"/>
      <c r="Y153" s="82"/>
      <c r="Z153" s="82"/>
    </row>
    <row r="154" spans="1:26" s="210" customFormat="1" ht="99">
      <c r="A154" s="34" t="s">
        <v>24</v>
      </c>
      <c r="B154" s="75" t="s">
        <v>390</v>
      </c>
      <c r="C154" s="76" t="s">
        <v>391</v>
      </c>
      <c r="D154" s="76" t="s">
        <v>392</v>
      </c>
      <c r="E154" s="33">
        <f>F154+G154+H154</f>
        <v>311</v>
      </c>
      <c r="F154" s="33">
        <v>0</v>
      </c>
      <c r="G154" s="33">
        <v>300</v>
      </c>
      <c r="H154" s="33">
        <f>311-F154-G154</f>
        <v>11</v>
      </c>
      <c r="I154" s="33">
        <v>300</v>
      </c>
      <c r="J154" s="33">
        <v>300</v>
      </c>
      <c r="K154" s="33">
        <v>311</v>
      </c>
      <c r="L154" s="33">
        <v>300</v>
      </c>
      <c r="M154" s="33">
        <v>300</v>
      </c>
      <c r="N154" s="33">
        <v>300</v>
      </c>
      <c r="O154" s="77" t="s">
        <v>383</v>
      </c>
      <c r="P154" s="210">
        <v>1</v>
      </c>
      <c r="Q154" s="82"/>
      <c r="R154" s="82"/>
      <c r="S154" s="82"/>
      <c r="T154" s="82"/>
      <c r="U154" s="82"/>
      <c r="V154" s="82"/>
      <c r="W154" s="82"/>
      <c r="X154" s="82"/>
      <c r="Y154" s="82"/>
      <c r="Z154" s="82"/>
    </row>
    <row r="155" spans="1:26" s="210" customFormat="1" ht="66">
      <c r="A155" s="34" t="s">
        <v>25</v>
      </c>
      <c r="B155" s="75" t="s">
        <v>745</v>
      </c>
      <c r="C155" s="76" t="s">
        <v>746</v>
      </c>
      <c r="D155" s="76" t="s">
        <v>747</v>
      </c>
      <c r="E155" s="33">
        <v>4225</v>
      </c>
      <c r="F155" s="33">
        <v>721</v>
      </c>
      <c r="G155" s="33">
        <v>1000</v>
      </c>
      <c r="H155" s="33">
        <f>+E155-F155-G155</f>
        <v>2504</v>
      </c>
      <c r="I155" s="33">
        <v>3995</v>
      </c>
      <c r="J155" s="33">
        <v>1000</v>
      </c>
      <c r="K155" s="33">
        <v>4005</v>
      </c>
      <c r="L155" s="33">
        <v>3995</v>
      </c>
      <c r="M155" s="33">
        <v>1000</v>
      </c>
      <c r="N155" s="33">
        <v>1000</v>
      </c>
      <c r="O155" s="77"/>
      <c r="P155" s="210">
        <v>1</v>
      </c>
      <c r="Q155" s="82"/>
      <c r="R155" s="82"/>
      <c r="S155" s="82"/>
      <c r="T155" s="82"/>
      <c r="U155" s="82"/>
      <c r="V155" s="82"/>
      <c r="W155" s="82"/>
      <c r="X155" s="82"/>
      <c r="Y155" s="82"/>
      <c r="Z155" s="82"/>
    </row>
    <row r="156" spans="1:26" s="210" customFormat="1" ht="99">
      <c r="A156" s="34" t="s">
        <v>25</v>
      </c>
      <c r="B156" s="75" t="s">
        <v>393</v>
      </c>
      <c r="C156" s="76" t="s">
        <v>394</v>
      </c>
      <c r="D156" s="76" t="s">
        <v>395</v>
      </c>
      <c r="E156" s="33">
        <f>F156+G156+H156</f>
        <v>1014</v>
      </c>
      <c r="F156" s="33">
        <v>0</v>
      </c>
      <c r="G156" s="33">
        <v>700</v>
      </c>
      <c r="H156" s="33">
        <f>1014-F156-G156</f>
        <v>314</v>
      </c>
      <c r="I156" s="33">
        <v>712</v>
      </c>
      <c r="J156" s="33">
        <v>700</v>
      </c>
      <c r="K156" s="33">
        <v>311</v>
      </c>
      <c r="L156" s="33">
        <v>1014</v>
      </c>
      <c r="M156" s="33">
        <v>700</v>
      </c>
      <c r="N156" s="33">
        <v>700</v>
      </c>
      <c r="O156" s="77" t="s">
        <v>396</v>
      </c>
      <c r="Q156" s="82"/>
      <c r="R156" s="82"/>
      <c r="S156" s="82"/>
      <c r="T156" s="82"/>
      <c r="U156" s="82"/>
      <c r="V156" s="82"/>
      <c r="W156" s="82"/>
      <c r="X156" s="82"/>
      <c r="Y156" s="82"/>
      <c r="Z156" s="82"/>
    </row>
    <row r="157" spans="1:26" s="210" customFormat="1" ht="16.5">
      <c r="A157" s="167" t="s">
        <v>612</v>
      </c>
      <c r="B157" s="266" t="s">
        <v>416</v>
      </c>
      <c r="C157" s="23"/>
      <c r="D157" s="168"/>
      <c r="E157" s="169">
        <f>+E158+E159+E160</f>
        <v>14782.466999999999</v>
      </c>
      <c r="F157" s="169">
        <f t="shared" ref="F157:N157" si="24">+F158+F159+F160</f>
        <v>684.7</v>
      </c>
      <c r="G157" s="169">
        <f t="shared" si="24"/>
        <v>11254</v>
      </c>
      <c r="H157" s="169">
        <f t="shared" si="24"/>
        <v>2843.7669999999994</v>
      </c>
      <c r="I157" s="169">
        <f t="shared" si="24"/>
        <v>13343.511999999999</v>
      </c>
      <c r="J157" s="169">
        <f t="shared" si="24"/>
        <v>14168</v>
      </c>
      <c r="K157" s="169">
        <f t="shared" si="24"/>
        <v>14267.88</v>
      </c>
      <c r="L157" s="169">
        <f t="shared" si="24"/>
        <v>13701.068000000001</v>
      </c>
      <c r="M157" s="169">
        <f t="shared" si="24"/>
        <v>14168</v>
      </c>
      <c r="N157" s="169">
        <f t="shared" si="24"/>
        <v>14168</v>
      </c>
      <c r="O157" s="171"/>
      <c r="Q157" s="82"/>
      <c r="R157" s="82"/>
      <c r="S157" s="82"/>
      <c r="T157" s="82"/>
      <c r="U157" s="82"/>
      <c r="V157" s="82"/>
      <c r="W157" s="82"/>
      <c r="X157" s="82"/>
      <c r="Y157" s="82"/>
      <c r="Z157" s="82"/>
    </row>
    <row r="158" spans="1:26" s="210" customFormat="1" ht="49.5">
      <c r="A158" s="246"/>
      <c r="B158" s="73" t="s">
        <v>379</v>
      </c>
      <c r="C158" s="247"/>
      <c r="D158" s="247"/>
      <c r="E158" s="37"/>
      <c r="F158" s="37"/>
      <c r="G158" s="37"/>
      <c r="H158" s="37"/>
      <c r="I158" s="37"/>
      <c r="J158" s="37"/>
      <c r="K158" s="37"/>
      <c r="L158" s="37"/>
      <c r="M158" s="37"/>
      <c r="N158" s="37"/>
      <c r="O158" s="211"/>
      <c r="Q158" s="239"/>
      <c r="R158" s="82"/>
      <c r="S158" s="82"/>
      <c r="T158" s="82"/>
      <c r="U158" s="82"/>
      <c r="V158" s="82"/>
      <c r="W158" s="82"/>
      <c r="X158" s="82"/>
      <c r="Y158" s="82"/>
      <c r="Z158" s="82"/>
    </row>
    <row r="159" spans="1:26" s="210" customFormat="1" ht="33">
      <c r="A159" s="246"/>
      <c r="B159" s="22" t="s">
        <v>141</v>
      </c>
      <c r="C159" s="23"/>
      <c r="D159" s="24"/>
      <c r="E159" s="25"/>
      <c r="F159" s="25"/>
      <c r="G159" s="25"/>
      <c r="H159" s="25"/>
      <c r="I159" s="25"/>
      <c r="J159" s="25"/>
      <c r="K159" s="25"/>
      <c r="L159" s="25"/>
      <c r="M159" s="25"/>
      <c r="N159" s="25"/>
      <c r="O159" s="211"/>
      <c r="Q159" s="82"/>
      <c r="R159" s="82"/>
      <c r="S159" s="82"/>
      <c r="T159" s="82"/>
      <c r="U159" s="82"/>
      <c r="V159" s="82"/>
      <c r="W159" s="82"/>
      <c r="X159" s="82"/>
      <c r="Y159" s="82"/>
      <c r="Z159" s="82"/>
    </row>
    <row r="160" spans="1:26" s="210" customFormat="1" ht="33">
      <c r="A160" s="246"/>
      <c r="B160" s="22" t="s">
        <v>335</v>
      </c>
      <c r="C160" s="23"/>
      <c r="D160" s="24"/>
      <c r="E160" s="25">
        <f t="shared" ref="E160:N160" si="25">SUM(E161:E179)</f>
        <v>14782.466999999999</v>
      </c>
      <c r="F160" s="25">
        <f t="shared" si="25"/>
        <v>684.7</v>
      </c>
      <c r="G160" s="25">
        <f t="shared" si="25"/>
        <v>11254</v>
      </c>
      <c r="H160" s="25">
        <f t="shared" si="25"/>
        <v>2843.7669999999994</v>
      </c>
      <c r="I160" s="25">
        <f t="shared" si="25"/>
        <v>13343.511999999999</v>
      </c>
      <c r="J160" s="25">
        <f t="shared" si="25"/>
        <v>14168</v>
      </c>
      <c r="K160" s="25">
        <f t="shared" si="25"/>
        <v>14267.88</v>
      </c>
      <c r="L160" s="25">
        <f t="shared" si="25"/>
        <v>13701.068000000001</v>
      </c>
      <c r="M160" s="25">
        <f t="shared" si="25"/>
        <v>14168</v>
      </c>
      <c r="N160" s="25">
        <f t="shared" si="25"/>
        <v>14168</v>
      </c>
      <c r="O160" s="211"/>
      <c r="Q160" s="82"/>
      <c r="R160" s="82"/>
      <c r="S160" s="82"/>
      <c r="T160" s="82"/>
      <c r="U160" s="82"/>
      <c r="V160" s="82"/>
      <c r="W160" s="82"/>
      <c r="X160" s="82"/>
      <c r="Y160" s="82"/>
      <c r="Z160" s="82"/>
    </row>
    <row r="161" spans="1:26" s="237" customFormat="1" ht="66">
      <c r="A161" s="34" t="s">
        <v>21</v>
      </c>
      <c r="B161" s="58" t="s">
        <v>398</v>
      </c>
      <c r="C161" s="64" t="s">
        <v>417</v>
      </c>
      <c r="D161" s="35" t="s">
        <v>399</v>
      </c>
      <c r="E161" s="36">
        <v>6064.387999999999</v>
      </c>
      <c r="F161" s="36">
        <v>374</v>
      </c>
      <c r="G161" s="36">
        <v>5600</v>
      </c>
      <c r="H161" s="36">
        <f t="shared" ref="H161:H167" si="26">E161-F161-G161</f>
        <v>90.38799999999901</v>
      </c>
      <c r="I161" s="36">
        <v>5686.4329999999991</v>
      </c>
      <c r="J161" s="36">
        <f>1300+2000+2000</f>
        <v>5300</v>
      </c>
      <c r="K161" s="36">
        <v>6061.1169999999984</v>
      </c>
      <c r="L161" s="36">
        <v>5686</v>
      </c>
      <c r="M161" s="36">
        <f>J161</f>
        <v>5300</v>
      </c>
      <c r="N161" s="36">
        <f>M161</f>
        <v>5300</v>
      </c>
      <c r="O161" s="75"/>
      <c r="P161" s="237">
        <v>1</v>
      </c>
      <c r="Q161" s="75"/>
      <c r="R161" s="75"/>
      <c r="S161" s="75"/>
      <c r="T161" s="75"/>
      <c r="U161" s="75"/>
      <c r="V161" s="75"/>
      <c r="W161" s="75"/>
      <c r="X161" s="75">
        <f>2000+2500</f>
        <v>4500</v>
      </c>
      <c r="Y161" s="75"/>
      <c r="Z161" s="75"/>
    </row>
    <row r="162" spans="1:26" s="237" customFormat="1" ht="66">
      <c r="A162" s="34" t="s">
        <v>28</v>
      </c>
      <c r="B162" s="58" t="s">
        <v>400</v>
      </c>
      <c r="C162" s="46" t="s">
        <v>401</v>
      </c>
      <c r="D162" s="78" t="s">
        <v>402</v>
      </c>
      <c r="E162" s="36">
        <v>2268.0790000000002</v>
      </c>
      <c r="F162" s="36">
        <v>0</v>
      </c>
      <c r="G162" s="36">
        <f>800+800</f>
        <v>1600</v>
      </c>
      <c r="H162" s="36">
        <f t="shared" si="26"/>
        <v>668.07900000000018</v>
      </c>
      <c r="I162" s="36">
        <v>2182.0790000000002</v>
      </c>
      <c r="J162" s="36">
        <f>G162</f>
        <v>1600</v>
      </c>
      <c r="K162" s="36">
        <v>2265</v>
      </c>
      <c r="L162" s="36">
        <f>K162</f>
        <v>2265</v>
      </c>
      <c r="M162" s="36">
        <f>J162</f>
        <v>1600</v>
      </c>
      <c r="N162" s="36">
        <f>M162</f>
        <v>1600</v>
      </c>
      <c r="O162" s="75"/>
      <c r="P162" s="237">
        <v>1</v>
      </c>
      <c r="Q162" s="75"/>
      <c r="R162" s="75"/>
      <c r="S162" s="75"/>
      <c r="T162" s="75"/>
      <c r="U162" s="75"/>
      <c r="V162" s="75"/>
      <c r="W162" s="75"/>
      <c r="X162" s="75">
        <v>800</v>
      </c>
      <c r="Y162" s="75"/>
      <c r="Z162" s="75"/>
    </row>
    <row r="163" spans="1:26" s="237" customFormat="1" ht="66">
      <c r="A163" s="34" t="s">
        <v>24</v>
      </c>
      <c r="B163" s="58" t="s">
        <v>403</v>
      </c>
      <c r="C163" s="46" t="s">
        <v>404</v>
      </c>
      <c r="D163" s="78" t="s">
        <v>405</v>
      </c>
      <c r="E163" s="36">
        <v>2200</v>
      </c>
      <c r="F163" s="36">
        <v>57.7</v>
      </c>
      <c r="G163" s="36">
        <v>900</v>
      </c>
      <c r="H163" s="36">
        <f t="shared" si="26"/>
        <v>1242.3000000000002</v>
      </c>
      <c r="I163" s="36">
        <v>1884</v>
      </c>
      <c r="J163" s="36">
        <f>800+100</f>
        <v>900</v>
      </c>
      <c r="K163" s="36">
        <v>2088</v>
      </c>
      <c r="L163" s="36">
        <f>K163</f>
        <v>2088</v>
      </c>
      <c r="M163" s="36">
        <f>J163</f>
        <v>900</v>
      </c>
      <c r="N163" s="36">
        <f>M163</f>
        <v>900</v>
      </c>
      <c r="O163" s="75"/>
      <c r="P163" s="237">
        <v>1</v>
      </c>
      <c r="Q163" s="75"/>
      <c r="R163" s="75"/>
      <c r="S163" s="75"/>
      <c r="T163" s="75"/>
      <c r="U163" s="75"/>
      <c r="V163" s="75"/>
      <c r="W163" s="75"/>
      <c r="X163" s="75">
        <f>100+800</f>
        <v>900</v>
      </c>
      <c r="Y163" s="75"/>
      <c r="Z163" s="75"/>
    </row>
    <row r="164" spans="1:26" s="237" customFormat="1" ht="66">
      <c r="A164" s="34" t="s">
        <v>25</v>
      </c>
      <c r="B164" s="78" t="s">
        <v>406</v>
      </c>
      <c r="C164" s="46" t="s">
        <v>407</v>
      </c>
      <c r="D164" s="78" t="s">
        <v>408</v>
      </c>
      <c r="E164" s="79">
        <v>1193</v>
      </c>
      <c r="F164" s="36">
        <v>0</v>
      </c>
      <c r="G164" s="36">
        <f>E164</f>
        <v>1193</v>
      </c>
      <c r="H164" s="36">
        <f t="shared" si="26"/>
        <v>0</v>
      </c>
      <c r="I164" s="79">
        <v>1098</v>
      </c>
      <c r="J164" s="36">
        <f>I164</f>
        <v>1098</v>
      </c>
      <c r="K164" s="36">
        <v>1108</v>
      </c>
      <c r="L164" s="36">
        <f>K164</f>
        <v>1108</v>
      </c>
      <c r="M164" s="36">
        <f>J164</f>
        <v>1098</v>
      </c>
      <c r="N164" s="36">
        <f>M164</f>
        <v>1098</v>
      </c>
      <c r="O164" s="75"/>
      <c r="P164" s="237">
        <v>1</v>
      </c>
      <c r="Q164" s="75"/>
      <c r="R164" s="75"/>
      <c r="S164" s="75"/>
      <c r="T164" s="75"/>
      <c r="U164" s="75"/>
      <c r="V164" s="75"/>
      <c r="W164" s="75"/>
      <c r="X164" s="75">
        <v>750</v>
      </c>
      <c r="Y164" s="75"/>
      <c r="Z164" s="75"/>
    </row>
    <row r="165" spans="1:26" s="237" customFormat="1" ht="66">
      <c r="A165" s="34" t="s">
        <v>26</v>
      </c>
      <c r="B165" s="58" t="s">
        <v>409</v>
      </c>
      <c r="C165" s="80">
        <v>42896</v>
      </c>
      <c r="D165" s="78" t="s">
        <v>410</v>
      </c>
      <c r="E165" s="33">
        <v>820</v>
      </c>
      <c r="F165" s="33">
        <f>110+101</f>
        <v>211</v>
      </c>
      <c r="G165" s="33">
        <v>500</v>
      </c>
      <c r="H165" s="36">
        <f t="shared" si="26"/>
        <v>109</v>
      </c>
      <c r="I165" s="33">
        <v>766</v>
      </c>
      <c r="J165" s="33">
        <f>G165</f>
        <v>500</v>
      </c>
      <c r="K165" s="33">
        <v>798.96800000000007</v>
      </c>
      <c r="L165" s="33">
        <f>K165</f>
        <v>798.96800000000007</v>
      </c>
      <c r="M165" s="33">
        <v>500</v>
      </c>
      <c r="N165" s="33">
        <f>M165</f>
        <v>500</v>
      </c>
      <c r="O165" s="75"/>
      <c r="Q165" s="75"/>
      <c r="R165" s="75"/>
      <c r="S165" s="75"/>
      <c r="T165" s="75"/>
      <c r="U165" s="75"/>
      <c r="V165" s="75"/>
      <c r="W165" s="75"/>
      <c r="X165" s="75"/>
      <c r="Y165" s="75"/>
      <c r="Z165" s="75"/>
    </row>
    <row r="166" spans="1:26" s="237" customFormat="1" ht="66">
      <c r="A166" s="34" t="s">
        <v>27</v>
      </c>
      <c r="B166" s="58" t="s">
        <v>411</v>
      </c>
      <c r="C166" s="46">
        <v>2017</v>
      </c>
      <c r="D166" s="78" t="s">
        <v>412</v>
      </c>
      <c r="E166" s="79">
        <v>1203</v>
      </c>
      <c r="F166" s="33">
        <v>42</v>
      </c>
      <c r="G166" s="33">
        <v>1161</v>
      </c>
      <c r="H166" s="36">
        <f t="shared" si="26"/>
        <v>0</v>
      </c>
      <c r="I166" s="33">
        <v>1027</v>
      </c>
      <c r="J166" s="33">
        <v>1000</v>
      </c>
      <c r="K166" s="33">
        <v>1055</v>
      </c>
      <c r="L166" s="33">
        <f>K166</f>
        <v>1055</v>
      </c>
      <c r="M166" s="33">
        <v>1000</v>
      </c>
      <c r="N166" s="33">
        <v>1000</v>
      </c>
      <c r="O166" s="75"/>
      <c r="Q166" s="75"/>
      <c r="R166" s="75"/>
      <c r="S166" s="75"/>
      <c r="T166" s="75"/>
      <c r="U166" s="75"/>
      <c r="V166" s="75"/>
      <c r="W166" s="75"/>
      <c r="X166" s="75">
        <v>500</v>
      </c>
      <c r="Y166" s="75"/>
      <c r="Z166" s="75"/>
    </row>
    <row r="167" spans="1:26" s="237" customFormat="1" ht="66">
      <c r="A167" s="34" t="s">
        <v>47</v>
      </c>
      <c r="B167" s="58" t="s">
        <v>413</v>
      </c>
      <c r="C167" s="46" t="s">
        <v>414</v>
      </c>
      <c r="D167" s="78" t="s">
        <v>415</v>
      </c>
      <c r="E167" s="33">
        <v>1034</v>
      </c>
      <c r="F167" s="33">
        <v>0</v>
      </c>
      <c r="G167" s="33">
        <v>300</v>
      </c>
      <c r="H167" s="36">
        <f t="shared" si="26"/>
        <v>734</v>
      </c>
      <c r="I167" s="33">
        <v>700</v>
      </c>
      <c r="J167" s="33">
        <v>300</v>
      </c>
      <c r="K167" s="33">
        <v>891.79499999999996</v>
      </c>
      <c r="L167" s="33">
        <v>700.1</v>
      </c>
      <c r="M167" s="33">
        <f>J167</f>
        <v>300</v>
      </c>
      <c r="N167" s="33">
        <f>M167</f>
        <v>300</v>
      </c>
      <c r="O167" s="75"/>
      <c r="Q167" s="75"/>
      <c r="R167" s="75"/>
      <c r="S167" s="75"/>
      <c r="T167" s="75"/>
      <c r="U167" s="75"/>
      <c r="V167" s="75"/>
      <c r="W167" s="75"/>
      <c r="X167" s="75">
        <v>300</v>
      </c>
      <c r="Y167" s="75"/>
      <c r="Z167" s="75"/>
    </row>
    <row r="168" spans="1:26" s="237" customFormat="1" ht="33">
      <c r="A168" s="34" t="s">
        <v>49</v>
      </c>
      <c r="B168" s="58" t="s">
        <v>763</v>
      </c>
      <c r="C168" s="46"/>
      <c r="D168" s="78"/>
      <c r="E168" s="33"/>
      <c r="F168" s="33"/>
      <c r="G168" s="33"/>
      <c r="H168" s="36"/>
      <c r="I168" s="33"/>
      <c r="J168" s="33">
        <v>150</v>
      </c>
      <c r="K168" s="33"/>
      <c r="L168" s="33"/>
      <c r="M168" s="33">
        <v>150</v>
      </c>
      <c r="N168" s="33">
        <v>150</v>
      </c>
      <c r="O168" s="75"/>
      <c r="Q168" s="75"/>
      <c r="R168" s="75"/>
      <c r="S168" s="75"/>
      <c r="T168" s="75"/>
      <c r="U168" s="75"/>
      <c r="V168" s="75"/>
      <c r="W168" s="75"/>
      <c r="X168" s="75">
        <v>150</v>
      </c>
      <c r="Y168" s="75"/>
      <c r="Z168" s="75"/>
    </row>
    <row r="169" spans="1:26" s="237" customFormat="1" ht="33">
      <c r="A169" s="34" t="s">
        <v>50</v>
      </c>
      <c r="B169" s="58" t="s">
        <v>764</v>
      </c>
      <c r="C169" s="46"/>
      <c r="D169" s="78"/>
      <c r="E169" s="33"/>
      <c r="F169" s="33"/>
      <c r="G169" s="33"/>
      <c r="H169" s="36"/>
      <c r="I169" s="33"/>
      <c r="J169" s="33">
        <v>800</v>
      </c>
      <c r="K169" s="33"/>
      <c r="L169" s="33"/>
      <c r="M169" s="33">
        <v>800</v>
      </c>
      <c r="N169" s="33">
        <v>800</v>
      </c>
      <c r="O169" s="75"/>
      <c r="Q169" s="75"/>
      <c r="R169" s="75"/>
      <c r="S169" s="75"/>
      <c r="T169" s="75"/>
      <c r="U169" s="75"/>
      <c r="V169" s="75"/>
      <c r="W169" s="75"/>
      <c r="X169" s="75">
        <v>800</v>
      </c>
      <c r="Y169" s="75"/>
      <c r="Z169" s="75"/>
    </row>
    <row r="170" spans="1:26" s="237" customFormat="1" ht="33">
      <c r="A170" s="34" t="s">
        <v>51</v>
      </c>
      <c r="B170" s="58" t="s">
        <v>765</v>
      </c>
      <c r="C170" s="46"/>
      <c r="D170" s="78"/>
      <c r="E170" s="33"/>
      <c r="F170" s="33"/>
      <c r="G170" s="33"/>
      <c r="H170" s="36"/>
      <c r="I170" s="33"/>
      <c r="J170" s="33">
        <v>300</v>
      </c>
      <c r="K170" s="33"/>
      <c r="L170" s="33"/>
      <c r="M170" s="33">
        <v>300</v>
      </c>
      <c r="N170" s="33">
        <v>300</v>
      </c>
      <c r="O170" s="75"/>
      <c r="Q170" s="75"/>
      <c r="R170" s="75"/>
      <c r="S170" s="75"/>
      <c r="T170" s="75"/>
      <c r="U170" s="75"/>
      <c r="V170" s="75"/>
      <c r="W170" s="75"/>
      <c r="X170" s="75">
        <v>300</v>
      </c>
      <c r="Y170" s="75"/>
      <c r="Z170" s="75"/>
    </row>
    <row r="171" spans="1:26" s="237" customFormat="1" ht="49.5">
      <c r="A171" s="34" t="s">
        <v>53</v>
      </c>
      <c r="B171" s="58" t="s">
        <v>766</v>
      </c>
      <c r="C171" s="46"/>
      <c r="D171" s="78"/>
      <c r="E171" s="33"/>
      <c r="F171" s="33"/>
      <c r="G171" s="33"/>
      <c r="H171" s="36"/>
      <c r="I171" s="33"/>
      <c r="J171" s="33">
        <v>200</v>
      </c>
      <c r="K171" s="33"/>
      <c r="L171" s="33"/>
      <c r="M171" s="33">
        <v>200</v>
      </c>
      <c r="N171" s="33">
        <v>200</v>
      </c>
      <c r="O171" s="75"/>
      <c r="Q171" s="75"/>
      <c r="R171" s="75"/>
      <c r="S171" s="75"/>
      <c r="T171" s="75"/>
      <c r="U171" s="75"/>
      <c r="V171" s="75"/>
      <c r="W171" s="75"/>
      <c r="X171" s="75">
        <v>200</v>
      </c>
      <c r="Y171" s="75"/>
      <c r="Z171" s="75"/>
    </row>
    <row r="172" spans="1:26" s="237" customFormat="1" ht="33">
      <c r="A172" s="34" t="s">
        <v>55</v>
      </c>
      <c r="B172" s="58" t="s">
        <v>768</v>
      </c>
      <c r="C172" s="46"/>
      <c r="D172" s="78"/>
      <c r="E172" s="33"/>
      <c r="F172" s="33"/>
      <c r="G172" s="33"/>
      <c r="H172" s="36"/>
      <c r="I172" s="33"/>
      <c r="J172" s="33">
        <v>400</v>
      </c>
      <c r="K172" s="33"/>
      <c r="L172" s="33"/>
      <c r="M172" s="33">
        <v>400</v>
      </c>
      <c r="N172" s="33">
        <v>400</v>
      </c>
      <c r="O172" s="75"/>
      <c r="Q172" s="75"/>
      <c r="R172" s="75"/>
      <c r="S172" s="75"/>
      <c r="T172" s="75"/>
      <c r="U172" s="75"/>
      <c r="V172" s="75"/>
      <c r="W172" s="75"/>
      <c r="X172" s="75">
        <v>150</v>
      </c>
      <c r="Y172" s="75"/>
      <c r="Z172" s="75"/>
    </row>
    <row r="173" spans="1:26" s="237" customFormat="1" ht="33">
      <c r="A173" s="34" t="s">
        <v>56</v>
      </c>
      <c r="B173" s="58" t="s">
        <v>769</v>
      </c>
      <c r="C173" s="46"/>
      <c r="D173" s="78"/>
      <c r="E173" s="33"/>
      <c r="F173" s="33"/>
      <c r="G173" s="33"/>
      <c r="H173" s="36"/>
      <c r="I173" s="33"/>
      <c r="J173" s="33">
        <v>400</v>
      </c>
      <c r="K173" s="33"/>
      <c r="L173" s="33"/>
      <c r="M173" s="33">
        <v>400</v>
      </c>
      <c r="N173" s="33">
        <v>400</v>
      </c>
      <c r="O173" s="75"/>
      <c r="Q173" s="75"/>
      <c r="R173" s="75"/>
      <c r="S173" s="75"/>
      <c r="T173" s="75"/>
      <c r="U173" s="75"/>
      <c r="V173" s="75"/>
      <c r="W173" s="75"/>
      <c r="X173" s="75"/>
      <c r="Y173" s="75"/>
      <c r="Z173" s="75"/>
    </row>
    <row r="174" spans="1:26" s="237" customFormat="1" ht="16.5">
      <c r="A174" s="34" t="s">
        <v>57</v>
      </c>
      <c r="B174" s="58" t="s">
        <v>770</v>
      </c>
      <c r="C174" s="46"/>
      <c r="D174" s="78"/>
      <c r="E174" s="33"/>
      <c r="F174" s="33"/>
      <c r="G174" s="33"/>
      <c r="H174" s="36"/>
      <c r="I174" s="33"/>
      <c r="J174" s="33">
        <v>300</v>
      </c>
      <c r="K174" s="33"/>
      <c r="L174" s="33"/>
      <c r="M174" s="33">
        <v>300</v>
      </c>
      <c r="N174" s="33">
        <v>300</v>
      </c>
      <c r="O174" s="75"/>
      <c r="P174" s="237">
        <v>1</v>
      </c>
      <c r="Q174" s="75"/>
      <c r="R174" s="75"/>
      <c r="S174" s="75"/>
      <c r="T174" s="75"/>
      <c r="U174" s="75"/>
      <c r="V174" s="75"/>
      <c r="W174" s="75"/>
      <c r="X174" s="75"/>
      <c r="Y174" s="75"/>
      <c r="Z174" s="75"/>
    </row>
    <row r="175" spans="1:26" s="237" customFormat="1" ht="33">
      <c r="A175" s="34" t="s">
        <v>58</v>
      </c>
      <c r="B175" s="58" t="s">
        <v>771</v>
      </c>
      <c r="C175" s="46"/>
      <c r="D175" s="78"/>
      <c r="E175" s="33"/>
      <c r="F175" s="33"/>
      <c r="G175" s="33"/>
      <c r="H175" s="36"/>
      <c r="I175" s="33"/>
      <c r="J175" s="33">
        <v>100</v>
      </c>
      <c r="K175" s="33"/>
      <c r="L175" s="33"/>
      <c r="M175" s="33">
        <v>100</v>
      </c>
      <c r="N175" s="33">
        <v>100</v>
      </c>
      <c r="O175" s="75"/>
      <c r="Q175" s="75"/>
      <c r="R175" s="75"/>
      <c r="S175" s="75"/>
      <c r="T175" s="75"/>
      <c r="U175" s="75"/>
      <c r="V175" s="75"/>
      <c r="W175" s="75"/>
      <c r="X175" s="75"/>
      <c r="Y175" s="75"/>
      <c r="Z175" s="75"/>
    </row>
    <row r="176" spans="1:26" s="237" customFormat="1" ht="33">
      <c r="A176" s="34" t="s">
        <v>59</v>
      </c>
      <c r="B176" s="58" t="s">
        <v>772</v>
      </c>
      <c r="C176" s="46"/>
      <c r="D176" s="78"/>
      <c r="E176" s="33"/>
      <c r="F176" s="33"/>
      <c r="G176" s="33"/>
      <c r="H176" s="36"/>
      <c r="I176" s="33"/>
      <c r="J176" s="33">
        <v>100</v>
      </c>
      <c r="K176" s="33"/>
      <c r="L176" s="33"/>
      <c r="M176" s="33">
        <v>100</v>
      </c>
      <c r="N176" s="33">
        <v>100</v>
      </c>
      <c r="O176" s="75"/>
      <c r="P176" s="237">
        <v>1</v>
      </c>
      <c r="Q176" s="75"/>
      <c r="R176" s="75"/>
      <c r="S176" s="75"/>
      <c r="T176" s="75"/>
      <c r="U176" s="75"/>
      <c r="V176" s="75"/>
      <c r="W176" s="75"/>
      <c r="X176" s="75"/>
      <c r="Y176" s="75"/>
      <c r="Z176" s="75"/>
    </row>
    <row r="177" spans="1:26" s="237" customFormat="1" ht="49.5">
      <c r="A177" s="34" t="s">
        <v>60</v>
      </c>
      <c r="B177" s="58" t="s">
        <v>773</v>
      </c>
      <c r="C177" s="46"/>
      <c r="D177" s="78"/>
      <c r="E177" s="33"/>
      <c r="F177" s="33"/>
      <c r="G177" s="33"/>
      <c r="H177" s="36"/>
      <c r="I177" s="33"/>
      <c r="J177" s="33">
        <v>200</v>
      </c>
      <c r="K177" s="33"/>
      <c r="L177" s="33"/>
      <c r="M177" s="33">
        <v>200</v>
      </c>
      <c r="N177" s="33">
        <v>200</v>
      </c>
      <c r="O177" s="75"/>
      <c r="Q177" s="75"/>
      <c r="R177" s="75"/>
      <c r="S177" s="75"/>
      <c r="T177" s="75"/>
      <c r="U177" s="75"/>
      <c r="V177" s="75"/>
      <c r="W177" s="75"/>
      <c r="X177" s="75"/>
      <c r="Y177" s="75"/>
      <c r="Z177" s="75"/>
    </row>
    <row r="178" spans="1:26" s="237" customFormat="1" ht="16.5">
      <c r="A178" s="34" t="s">
        <v>61</v>
      </c>
      <c r="B178" s="58" t="s">
        <v>719</v>
      </c>
      <c r="C178" s="46"/>
      <c r="D178" s="78"/>
      <c r="E178" s="33"/>
      <c r="F178" s="33"/>
      <c r="G178" s="33"/>
      <c r="H178" s="36"/>
      <c r="I178" s="33"/>
      <c r="J178" s="33">
        <v>270</v>
      </c>
      <c r="K178" s="33"/>
      <c r="L178" s="33"/>
      <c r="M178" s="33">
        <v>270</v>
      </c>
      <c r="N178" s="33">
        <v>270</v>
      </c>
      <c r="O178" s="75"/>
      <c r="Q178" s="75"/>
      <c r="R178" s="75"/>
      <c r="S178" s="75"/>
      <c r="T178" s="75"/>
      <c r="U178" s="75"/>
      <c r="V178" s="75"/>
      <c r="W178" s="75"/>
      <c r="X178" s="75"/>
      <c r="Y178" s="75"/>
      <c r="Z178" s="75"/>
    </row>
    <row r="179" spans="1:26" s="237" customFormat="1" ht="16.5">
      <c r="A179" s="34" t="s">
        <v>62</v>
      </c>
      <c r="B179" s="58" t="s">
        <v>720</v>
      </c>
      <c r="C179" s="46"/>
      <c r="D179" s="78"/>
      <c r="E179" s="33"/>
      <c r="F179" s="33"/>
      <c r="G179" s="33"/>
      <c r="H179" s="36"/>
      <c r="I179" s="33"/>
      <c r="J179" s="33">
        <v>250</v>
      </c>
      <c r="K179" s="33"/>
      <c r="L179" s="33"/>
      <c r="M179" s="33">
        <v>250</v>
      </c>
      <c r="N179" s="33">
        <v>250</v>
      </c>
      <c r="O179" s="75"/>
      <c r="Q179" s="75"/>
      <c r="R179" s="75"/>
      <c r="S179" s="75"/>
      <c r="T179" s="75"/>
      <c r="U179" s="75"/>
      <c r="V179" s="75"/>
      <c r="W179" s="75"/>
      <c r="X179" s="75"/>
      <c r="Y179" s="75"/>
      <c r="Z179" s="75"/>
    </row>
    <row r="180" spans="1:26" s="210" customFormat="1" ht="16.5">
      <c r="A180" s="246" t="s">
        <v>613</v>
      </c>
      <c r="B180" s="81" t="s">
        <v>430</v>
      </c>
      <c r="C180" s="247"/>
      <c r="D180" s="247"/>
      <c r="E180" s="37">
        <f>+E181+E182+E183</f>
        <v>20599.455000000002</v>
      </c>
      <c r="F180" s="37">
        <f t="shared" ref="F180:N180" si="27">+F181+F182+F183</f>
        <v>1065</v>
      </c>
      <c r="G180" s="37">
        <f t="shared" si="27"/>
        <v>3200</v>
      </c>
      <c r="H180" s="37">
        <f t="shared" si="27"/>
        <v>16334</v>
      </c>
      <c r="I180" s="37">
        <f t="shared" si="27"/>
        <v>15794</v>
      </c>
      <c r="J180" s="37">
        <f t="shared" si="27"/>
        <v>6720</v>
      </c>
      <c r="K180" s="37">
        <f t="shared" si="27"/>
        <v>19410</v>
      </c>
      <c r="L180" s="37">
        <f t="shared" si="27"/>
        <v>15199</v>
      </c>
      <c r="M180" s="37">
        <f t="shared" si="27"/>
        <v>6925</v>
      </c>
      <c r="N180" s="37">
        <f t="shared" si="27"/>
        <v>6720</v>
      </c>
      <c r="O180" s="211"/>
      <c r="Q180" s="82"/>
      <c r="R180" s="82"/>
      <c r="S180" s="82"/>
      <c r="T180" s="82"/>
      <c r="U180" s="82"/>
      <c r="V180" s="82"/>
      <c r="W180" s="82"/>
      <c r="X180" s="82"/>
      <c r="Y180" s="82"/>
      <c r="Z180" s="82"/>
    </row>
    <row r="181" spans="1:26" s="210" customFormat="1" ht="49.5">
      <c r="A181" s="246"/>
      <c r="B181" s="73" t="s">
        <v>379</v>
      </c>
      <c r="C181" s="247"/>
      <c r="D181" s="247"/>
      <c r="E181" s="37"/>
      <c r="F181" s="37"/>
      <c r="G181" s="37"/>
      <c r="H181" s="37"/>
      <c r="I181" s="37"/>
      <c r="J181" s="37"/>
      <c r="K181" s="37"/>
      <c r="L181" s="37"/>
      <c r="M181" s="37"/>
      <c r="N181" s="37"/>
      <c r="O181" s="211"/>
      <c r="Q181" s="239"/>
      <c r="R181" s="82"/>
      <c r="S181" s="82"/>
      <c r="T181" s="82"/>
      <c r="U181" s="82"/>
      <c r="V181" s="82"/>
      <c r="W181" s="82"/>
      <c r="X181" s="82"/>
      <c r="Y181" s="82"/>
      <c r="Z181" s="82"/>
    </row>
    <row r="182" spans="1:26" s="210" customFormat="1" ht="33">
      <c r="A182" s="246"/>
      <c r="B182" s="22" t="s">
        <v>141</v>
      </c>
      <c r="C182" s="23"/>
      <c r="D182" s="24"/>
      <c r="E182" s="25"/>
      <c r="F182" s="25"/>
      <c r="G182" s="25"/>
      <c r="H182" s="25"/>
      <c r="I182" s="25"/>
      <c r="J182" s="25"/>
      <c r="K182" s="25"/>
      <c r="L182" s="25"/>
      <c r="M182" s="25"/>
      <c r="N182" s="25"/>
      <c r="O182" s="211"/>
      <c r="Q182" s="82"/>
      <c r="R182" s="82"/>
      <c r="S182" s="82"/>
      <c r="T182" s="82"/>
      <c r="U182" s="82"/>
      <c r="V182" s="82"/>
      <c r="W182" s="82"/>
      <c r="X182" s="82"/>
      <c r="Y182" s="82"/>
      <c r="Z182" s="82"/>
    </row>
    <row r="183" spans="1:26" s="210" customFormat="1" ht="33">
      <c r="A183" s="246"/>
      <c r="B183" s="22" t="s">
        <v>335</v>
      </c>
      <c r="C183" s="23"/>
      <c r="D183" s="24"/>
      <c r="E183" s="25">
        <f>SUM(E184:E189)</f>
        <v>20599.455000000002</v>
      </c>
      <c r="F183" s="25">
        <f t="shared" ref="F183:N183" si="28">SUM(F184:F189)</f>
        <v>1065</v>
      </c>
      <c r="G183" s="25">
        <f t="shared" si="28"/>
        <v>3200</v>
      </c>
      <c r="H183" s="25">
        <f t="shared" si="28"/>
        <v>16334</v>
      </c>
      <c r="I183" s="25">
        <f t="shared" si="28"/>
        <v>15794</v>
      </c>
      <c r="J183" s="25">
        <f t="shared" si="28"/>
        <v>6720</v>
      </c>
      <c r="K183" s="25">
        <f t="shared" si="28"/>
        <v>19410</v>
      </c>
      <c r="L183" s="25">
        <f t="shared" si="28"/>
        <v>15199</v>
      </c>
      <c r="M183" s="25">
        <f t="shared" si="28"/>
        <v>6925</v>
      </c>
      <c r="N183" s="25">
        <f t="shared" si="28"/>
        <v>6720</v>
      </c>
      <c r="O183" s="211"/>
      <c r="Q183" s="82"/>
      <c r="R183" s="82"/>
      <c r="S183" s="82"/>
      <c r="T183" s="82"/>
      <c r="U183" s="82"/>
      <c r="V183" s="82"/>
      <c r="W183" s="82"/>
      <c r="X183" s="82"/>
      <c r="Y183" s="82"/>
      <c r="Z183" s="82"/>
    </row>
    <row r="184" spans="1:26" s="210" customFormat="1" ht="49.5">
      <c r="A184" s="34" t="s">
        <v>21</v>
      </c>
      <c r="B184" s="58" t="s">
        <v>418</v>
      </c>
      <c r="C184" s="38" t="s">
        <v>127</v>
      </c>
      <c r="D184" s="39" t="s">
        <v>419</v>
      </c>
      <c r="E184" s="40">
        <v>5297.9449999999997</v>
      </c>
      <c r="F184" s="54"/>
      <c r="G184" s="54">
        <v>3200</v>
      </c>
      <c r="H184" s="54">
        <v>2098</v>
      </c>
      <c r="I184" s="54">
        <v>3200</v>
      </c>
      <c r="J184" s="54">
        <v>3200</v>
      </c>
      <c r="K184" s="54">
        <v>5298</v>
      </c>
      <c r="L184" s="54">
        <v>5298</v>
      </c>
      <c r="M184" s="40">
        <v>3200</v>
      </c>
      <c r="N184" s="40">
        <v>3200</v>
      </c>
      <c r="O184" s="54"/>
      <c r="P184" s="210">
        <v>1</v>
      </c>
      <c r="Q184" s="82"/>
      <c r="R184" s="82"/>
      <c r="S184" s="82"/>
      <c r="T184" s="334"/>
      <c r="U184" s="334"/>
      <c r="V184" s="82"/>
      <c r="W184" s="82"/>
      <c r="X184" s="82">
        <v>1400</v>
      </c>
      <c r="Y184" s="82"/>
      <c r="Z184" s="82"/>
    </row>
    <row r="185" spans="1:26" s="210" customFormat="1" ht="66">
      <c r="A185" s="34" t="s">
        <v>28</v>
      </c>
      <c r="B185" s="58" t="s">
        <v>420</v>
      </c>
      <c r="C185" s="38" t="s">
        <v>127</v>
      </c>
      <c r="D185" s="39" t="s">
        <v>421</v>
      </c>
      <c r="E185" s="40">
        <v>1207.3810000000001</v>
      </c>
      <c r="F185" s="54">
        <v>604</v>
      </c>
      <c r="G185" s="54"/>
      <c r="H185" s="54">
        <v>603</v>
      </c>
      <c r="I185" s="54">
        <v>505</v>
      </c>
      <c r="J185" s="54">
        <v>300</v>
      </c>
      <c r="K185" s="54">
        <v>907</v>
      </c>
      <c r="L185" s="54">
        <v>907</v>
      </c>
      <c r="M185" s="40">
        <v>505</v>
      </c>
      <c r="N185" s="40">
        <v>300</v>
      </c>
      <c r="O185" s="54"/>
      <c r="Q185" s="82"/>
      <c r="R185" s="82"/>
      <c r="S185" s="82"/>
      <c r="T185" s="334"/>
      <c r="U185" s="334"/>
      <c r="V185" s="82"/>
      <c r="W185" s="82"/>
      <c r="X185" s="82">
        <v>300</v>
      </c>
      <c r="Y185" s="82"/>
      <c r="Z185" s="82"/>
    </row>
    <row r="186" spans="1:26" s="210" customFormat="1" ht="66">
      <c r="A186" s="34" t="s">
        <v>24</v>
      </c>
      <c r="B186" s="58" t="s">
        <v>422</v>
      </c>
      <c r="C186" s="38" t="s">
        <v>423</v>
      </c>
      <c r="D186" s="39" t="s">
        <v>424</v>
      </c>
      <c r="E186" s="40">
        <v>6288.1290000000008</v>
      </c>
      <c r="F186" s="54">
        <v>461</v>
      </c>
      <c r="G186" s="54"/>
      <c r="H186" s="54">
        <v>5827</v>
      </c>
      <c r="I186" s="54">
        <v>5294</v>
      </c>
      <c r="J186" s="54">
        <v>1370</v>
      </c>
      <c r="K186" s="54">
        <v>5934</v>
      </c>
      <c r="L186" s="54">
        <v>5294</v>
      </c>
      <c r="M186" s="40">
        <v>1370</v>
      </c>
      <c r="N186" s="40">
        <v>1370</v>
      </c>
      <c r="O186" s="54"/>
      <c r="P186" s="210">
        <v>1</v>
      </c>
      <c r="Q186" s="82"/>
      <c r="R186" s="82"/>
      <c r="S186" s="82"/>
      <c r="T186" s="334"/>
      <c r="U186" s="334"/>
      <c r="V186" s="82"/>
      <c r="W186" s="82"/>
      <c r="X186" s="82">
        <f>1000+370</f>
        <v>1370</v>
      </c>
      <c r="Y186" s="82"/>
      <c r="Z186" s="82"/>
    </row>
    <row r="187" spans="1:26" s="210" customFormat="1" ht="49.5">
      <c r="A187" s="34" t="s">
        <v>25</v>
      </c>
      <c r="B187" s="58" t="s">
        <v>810</v>
      </c>
      <c r="C187" s="38">
        <v>2016</v>
      </c>
      <c r="D187" s="39" t="s">
        <v>425</v>
      </c>
      <c r="E187" s="40">
        <v>2139</v>
      </c>
      <c r="F187" s="54"/>
      <c r="G187" s="54"/>
      <c r="H187" s="54">
        <v>2139</v>
      </c>
      <c r="I187" s="54">
        <v>1700</v>
      </c>
      <c r="J187" s="54">
        <v>520</v>
      </c>
      <c r="K187" s="54">
        <v>1950</v>
      </c>
      <c r="L187" s="54">
        <f>M187+N187</f>
        <v>1040</v>
      </c>
      <c r="M187" s="40">
        <v>520</v>
      </c>
      <c r="N187" s="40">
        <v>520</v>
      </c>
      <c r="O187" s="54"/>
      <c r="P187" s="210">
        <v>1</v>
      </c>
      <c r="Q187" s="82"/>
      <c r="R187" s="82"/>
      <c r="S187" s="82"/>
      <c r="T187" s="334"/>
      <c r="U187" s="334"/>
      <c r="V187" s="82"/>
      <c r="W187" s="82"/>
      <c r="X187" s="82">
        <f>120+400</f>
        <v>520</v>
      </c>
      <c r="Y187" s="82"/>
      <c r="Z187" s="82"/>
    </row>
    <row r="188" spans="1:26" s="210" customFormat="1" ht="49.5">
      <c r="A188" s="34" t="s">
        <v>26</v>
      </c>
      <c r="B188" s="58" t="s">
        <v>426</v>
      </c>
      <c r="C188" s="38">
        <v>2017</v>
      </c>
      <c r="D188" s="39" t="s">
        <v>427</v>
      </c>
      <c r="E188" s="40">
        <v>4450</v>
      </c>
      <c r="F188" s="54"/>
      <c r="G188" s="54"/>
      <c r="H188" s="54">
        <v>4450</v>
      </c>
      <c r="I188" s="54">
        <v>4145</v>
      </c>
      <c r="J188" s="54">
        <v>800</v>
      </c>
      <c r="K188" s="54">
        <v>4235</v>
      </c>
      <c r="L188" s="54">
        <f>M188+N188</f>
        <v>1600</v>
      </c>
      <c r="M188" s="40">
        <v>800</v>
      </c>
      <c r="N188" s="40">
        <v>800</v>
      </c>
      <c r="O188" s="54"/>
      <c r="Q188" s="82"/>
      <c r="R188" s="82"/>
      <c r="S188" s="82"/>
      <c r="T188" s="334"/>
      <c r="U188" s="334"/>
      <c r="V188" s="82"/>
      <c r="W188" s="82"/>
      <c r="X188" s="82">
        <v>800</v>
      </c>
      <c r="Y188" s="82"/>
      <c r="Z188" s="82"/>
    </row>
    <row r="189" spans="1:26" s="210" customFormat="1" ht="49.5">
      <c r="A189" s="34" t="s">
        <v>27</v>
      </c>
      <c r="B189" s="58" t="s">
        <v>428</v>
      </c>
      <c r="C189" s="38">
        <v>2017</v>
      </c>
      <c r="D189" s="39" t="s">
        <v>429</v>
      </c>
      <c r="E189" s="40">
        <v>1217</v>
      </c>
      <c r="F189" s="54"/>
      <c r="G189" s="54"/>
      <c r="H189" s="54">
        <v>1217</v>
      </c>
      <c r="I189" s="54">
        <v>950</v>
      </c>
      <c r="J189" s="54">
        <v>530</v>
      </c>
      <c r="K189" s="54">
        <v>1086</v>
      </c>
      <c r="L189" s="54">
        <f>M189+N189</f>
        <v>1060</v>
      </c>
      <c r="M189" s="40">
        <v>530</v>
      </c>
      <c r="N189" s="40">
        <v>530</v>
      </c>
      <c r="O189" s="54"/>
      <c r="P189" s="210">
        <v>1</v>
      </c>
      <c r="Q189" s="82"/>
      <c r="R189" s="82"/>
      <c r="S189" s="82"/>
      <c r="T189" s="334"/>
      <c r="U189" s="334"/>
      <c r="V189" s="82"/>
      <c r="W189" s="82"/>
      <c r="X189" s="82">
        <v>450</v>
      </c>
      <c r="Y189" s="82"/>
      <c r="Z189" s="82"/>
    </row>
    <row r="190" spans="1:26" s="210" customFormat="1" ht="16.5">
      <c r="A190" s="246" t="s">
        <v>614</v>
      </c>
      <c r="B190" s="81" t="s">
        <v>435</v>
      </c>
      <c r="C190" s="247"/>
      <c r="D190" s="172"/>
      <c r="E190" s="173">
        <f>+E191+E192+E193</f>
        <v>1115</v>
      </c>
      <c r="F190" s="173">
        <f t="shared" ref="F190:N190" si="29">+F191+F192+F193</f>
        <v>0</v>
      </c>
      <c r="G190" s="173">
        <f t="shared" si="29"/>
        <v>900</v>
      </c>
      <c r="H190" s="173">
        <f t="shared" si="29"/>
        <v>215</v>
      </c>
      <c r="I190" s="173">
        <f t="shared" si="29"/>
        <v>1115</v>
      </c>
      <c r="J190" s="173">
        <f t="shared" si="29"/>
        <v>900</v>
      </c>
      <c r="K190" s="173">
        <f t="shared" si="29"/>
        <v>1113.49</v>
      </c>
      <c r="L190" s="173">
        <f t="shared" si="29"/>
        <v>900</v>
      </c>
      <c r="M190" s="173">
        <f t="shared" si="29"/>
        <v>900</v>
      </c>
      <c r="N190" s="173">
        <f t="shared" si="29"/>
        <v>900</v>
      </c>
      <c r="O190" s="211"/>
      <c r="Q190" s="82"/>
      <c r="R190" s="82"/>
      <c r="S190" s="82"/>
      <c r="T190" s="82"/>
      <c r="U190" s="82"/>
      <c r="V190" s="82"/>
      <c r="W190" s="82"/>
      <c r="X190" s="82"/>
      <c r="Y190" s="82"/>
      <c r="Z190" s="82"/>
    </row>
    <row r="191" spans="1:26" s="210" customFormat="1" ht="49.5">
      <c r="A191" s="246"/>
      <c r="B191" s="73" t="s">
        <v>379</v>
      </c>
      <c r="C191" s="247"/>
      <c r="D191" s="247"/>
      <c r="E191" s="37"/>
      <c r="F191" s="37"/>
      <c r="G191" s="37"/>
      <c r="H191" s="37"/>
      <c r="I191" s="37"/>
      <c r="J191" s="37"/>
      <c r="K191" s="37"/>
      <c r="L191" s="37"/>
      <c r="M191" s="37"/>
      <c r="N191" s="37"/>
      <c r="O191" s="211"/>
      <c r="Q191" s="82"/>
      <c r="R191" s="82"/>
      <c r="S191" s="82"/>
      <c r="T191" s="82"/>
      <c r="U191" s="82"/>
      <c r="V191" s="82"/>
      <c r="W191" s="82"/>
      <c r="X191" s="82"/>
      <c r="Y191" s="82"/>
      <c r="Z191" s="82"/>
    </row>
    <row r="192" spans="1:26" s="210" customFormat="1" ht="33">
      <c r="A192" s="246"/>
      <c r="B192" s="22" t="s">
        <v>141</v>
      </c>
      <c r="C192" s="23"/>
      <c r="D192" s="24"/>
      <c r="E192" s="25"/>
      <c r="F192" s="25"/>
      <c r="G192" s="25"/>
      <c r="H192" s="25"/>
      <c r="I192" s="25"/>
      <c r="J192" s="25"/>
      <c r="K192" s="25"/>
      <c r="L192" s="25"/>
      <c r="M192" s="25"/>
      <c r="N192" s="25"/>
      <c r="O192" s="211"/>
      <c r="Q192" s="82"/>
      <c r="R192" s="82"/>
      <c r="S192" s="82"/>
      <c r="T192" s="82"/>
      <c r="U192" s="82"/>
      <c r="V192" s="82"/>
      <c r="W192" s="82"/>
      <c r="X192" s="82"/>
      <c r="Y192" s="82"/>
      <c r="Z192" s="82"/>
    </row>
    <row r="193" spans="1:26" s="210" customFormat="1" ht="33">
      <c r="A193" s="246"/>
      <c r="B193" s="22" t="s">
        <v>335</v>
      </c>
      <c r="C193" s="23"/>
      <c r="D193" s="24"/>
      <c r="E193" s="25">
        <f>SUM(E194)</f>
        <v>1115</v>
      </c>
      <c r="F193" s="25">
        <f t="shared" ref="F193:N193" si="30">SUM(F194)</f>
        <v>0</v>
      </c>
      <c r="G193" s="25">
        <f t="shared" si="30"/>
        <v>900</v>
      </c>
      <c r="H193" s="25">
        <f t="shared" si="30"/>
        <v>215</v>
      </c>
      <c r="I193" s="25">
        <f t="shared" si="30"/>
        <v>1115</v>
      </c>
      <c r="J193" s="25">
        <f t="shared" si="30"/>
        <v>900</v>
      </c>
      <c r="K193" s="25">
        <f t="shared" si="30"/>
        <v>1113.49</v>
      </c>
      <c r="L193" s="25">
        <f t="shared" si="30"/>
        <v>900</v>
      </c>
      <c r="M193" s="25">
        <f t="shared" si="30"/>
        <v>900</v>
      </c>
      <c r="N193" s="25">
        <f t="shared" si="30"/>
        <v>900</v>
      </c>
      <c r="O193" s="211"/>
      <c r="Q193" s="82"/>
      <c r="R193" s="82"/>
      <c r="S193" s="82"/>
      <c r="T193" s="82"/>
      <c r="U193" s="82"/>
      <c r="V193" s="82"/>
      <c r="W193" s="82"/>
      <c r="X193" s="82"/>
      <c r="Y193" s="82"/>
      <c r="Z193" s="82"/>
    </row>
    <row r="194" spans="1:26" s="83" customFormat="1" ht="49.5">
      <c r="A194" s="34" t="s">
        <v>431</v>
      </c>
      <c r="B194" s="41" t="s">
        <v>432</v>
      </c>
      <c r="C194" s="76">
        <v>2019</v>
      </c>
      <c r="D194" s="76" t="s">
        <v>433</v>
      </c>
      <c r="E194" s="33">
        <v>1115</v>
      </c>
      <c r="F194" s="33"/>
      <c r="G194" s="33">
        <v>900</v>
      </c>
      <c r="H194" s="33">
        <f>1115-900</f>
        <v>215</v>
      </c>
      <c r="I194" s="33">
        <v>1115</v>
      </c>
      <c r="J194" s="33">
        <v>900</v>
      </c>
      <c r="K194" s="33">
        <f>1115-1.51</f>
        <v>1113.49</v>
      </c>
      <c r="L194" s="33">
        <f>+M194</f>
        <v>900</v>
      </c>
      <c r="M194" s="33">
        <v>900</v>
      </c>
      <c r="N194" s="33">
        <v>900</v>
      </c>
      <c r="O194" s="75" t="s">
        <v>434</v>
      </c>
      <c r="Q194" s="82"/>
      <c r="R194" s="82"/>
      <c r="S194" s="82"/>
      <c r="T194" s="82"/>
      <c r="U194" s="82"/>
      <c r="V194" s="82"/>
      <c r="W194" s="82"/>
      <c r="X194" s="82"/>
      <c r="Y194" s="82"/>
      <c r="Z194" s="82"/>
    </row>
    <row r="195" spans="1:26" s="210" customFormat="1" ht="16.5">
      <c r="A195" s="246" t="s">
        <v>615</v>
      </c>
      <c r="B195" s="81" t="s">
        <v>512</v>
      </c>
      <c r="C195" s="247"/>
      <c r="D195" s="247"/>
      <c r="E195" s="268">
        <f>+E196+E211+E212</f>
        <v>36184</v>
      </c>
      <c r="F195" s="268">
        <f t="shared" ref="F195:N195" si="31">+F196+F211+F212</f>
        <v>0</v>
      </c>
      <c r="G195" s="268">
        <f t="shared" si="31"/>
        <v>4574</v>
      </c>
      <c r="H195" s="268">
        <f t="shared" si="31"/>
        <v>9519</v>
      </c>
      <c r="I195" s="268">
        <f t="shared" si="31"/>
        <v>28173</v>
      </c>
      <c r="J195" s="268">
        <f t="shared" si="31"/>
        <v>6099.741</v>
      </c>
      <c r="K195" s="268">
        <f t="shared" si="31"/>
        <v>26568.7</v>
      </c>
      <c r="L195" s="268">
        <f t="shared" si="31"/>
        <v>28173</v>
      </c>
      <c r="M195" s="268">
        <f t="shared" si="31"/>
        <v>6099.741</v>
      </c>
      <c r="N195" s="268">
        <f t="shared" si="31"/>
        <v>6099.741</v>
      </c>
      <c r="O195" s="211"/>
      <c r="Q195" s="82"/>
      <c r="R195" s="82"/>
      <c r="S195" s="82"/>
      <c r="T195" s="82"/>
      <c r="U195" s="82"/>
      <c r="V195" s="82"/>
      <c r="W195" s="82"/>
      <c r="X195" s="82"/>
      <c r="Y195" s="82"/>
      <c r="Z195" s="82"/>
    </row>
    <row r="196" spans="1:26" s="210" customFormat="1" ht="49.5">
      <c r="A196" s="246"/>
      <c r="B196" s="73" t="s">
        <v>379</v>
      </c>
      <c r="C196" s="247"/>
      <c r="D196" s="247"/>
      <c r="E196" s="268">
        <f>SUM(E197:E210)</f>
        <v>22091</v>
      </c>
      <c r="F196" s="268">
        <f t="shared" ref="F196:N196" si="32">SUM(F197:F210)</f>
        <v>0</v>
      </c>
      <c r="G196" s="268">
        <f t="shared" si="32"/>
        <v>0</v>
      </c>
      <c r="H196" s="268">
        <f t="shared" si="32"/>
        <v>0</v>
      </c>
      <c r="I196" s="268">
        <f t="shared" si="32"/>
        <v>15456</v>
      </c>
      <c r="J196" s="268">
        <f t="shared" si="32"/>
        <v>1525.741</v>
      </c>
      <c r="K196" s="268">
        <f t="shared" si="32"/>
        <v>15645</v>
      </c>
      <c r="L196" s="268">
        <f t="shared" si="32"/>
        <v>15456</v>
      </c>
      <c r="M196" s="268">
        <f t="shared" si="32"/>
        <v>1525.741</v>
      </c>
      <c r="N196" s="268">
        <f t="shared" si="32"/>
        <v>1525.741</v>
      </c>
      <c r="O196" s="211"/>
      <c r="Q196" s="82"/>
      <c r="R196" s="82"/>
      <c r="S196" s="82"/>
      <c r="T196" s="82"/>
      <c r="U196" s="82"/>
      <c r="V196" s="82"/>
      <c r="W196" s="82"/>
      <c r="X196" s="82"/>
      <c r="Y196" s="82"/>
      <c r="Z196" s="82"/>
    </row>
    <row r="197" spans="1:26" s="83" customFormat="1" ht="33">
      <c r="A197" s="34" t="s">
        <v>21</v>
      </c>
      <c r="B197" s="269" t="s">
        <v>436</v>
      </c>
      <c r="C197" s="130" t="s">
        <v>437</v>
      </c>
      <c r="D197" s="76" t="s">
        <v>438</v>
      </c>
      <c r="E197" s="270">
        <v>319</v>
      </c>
      <c r="F197" s="270"/>
      <c r="G197" s="270"/>
      <c r="H197" s="270"/>
      <c r="I197" s="270">
        <v>299</v>
      </c>
      <c r="J197" s="270">
        <v>48.52</v>
      </c>
      <c r="K197" s="270">
        <v>301</v>
      </c>
      <c r="L197" s="270">
        <v>299</v>
      </c>
      <c r="M197" s="270">
        <v>48.52</v>
      </c>
      <c r="N197" s="270">
        <v>48.52</v>
      </c>
      <c r="O197" s="82"/>
      <c r="Q197" s="82"/>
      <c r="R197" s="82"/>
      <c r="S197" s="82"/>
      <c r="T197" s="82"/>
      <c r="U197" s="82"/>
      <c r="V197" s="82"/>
      <c r="W197" s="82"/>
      <c r="X197" s="82"/>
      <c r="Y197" s="82"/>
      <c r="Z197" s="82"/>
    </row>
    <row r="198" spans="1:26" s="83" customFormat="1" ht="33">
      <c r="A198" s="34" t="s">
        <v>28</v>
      </c>
      <c r="B198" s="269" t="s">
        <v>439</v>
      </c>
      <c r="C198" s="271" t="s">
        <v>440</v>
      </c>
      <c r="D198" s="76" t="s">
        <v>441</v>
      </c>
      <c r="E198" s="270">
        <v>1824</v>
      </c>
      <c r="F198" s="270"/>
      <c r="G198" s="270"/>
      <c r="H198" s="270"/>
      <c r="I198" s="270">
        <v>1664</v>
      </c>
      <c r="J198" s="270">
        <v>82</v>
      </c>
      <c r="K198" s="270">
        <v>1710</v>
      </c>
      <c r="L198" s="270">
        <v>1664</v>
      </c>
      <c r="M198" s="270">
        <v>82</v>
      </c>
      <c r="N198" s="270">
        <v>82</v>
      </c>
      <c r="O198" s="82"/>
      <c r="Q198" s="82"/>
      <c r="R198" s="82"/>
      <c r="S198" s="82"/>
      <c r="T198" s="82"/>
      <c r="U198" s="82"/>
      <c r="V198" s="82"/>
      <c r="W198" s="82"/>
      <c r="X198" s="82"/>
      <c r="Y198" s="82"/>
      <c r="Z198" s="82"/>
    </row>
    <row r="199" spans="1:26" s="83" customFormat="1" ht="33">
      <c r="A199" s="34" t="s">
        <v>24</v>
      </c>
      <c r="B199" s="269" t="s">
        <v>442</v>
      </c>
      <c r="C199" s="76" t="s">
        <v>443</v>
      </c>
      <c r="D199" s="76" t="s">
        <v>444</v>
      </c>
      <c r="E199" s="270">
        <v>1980</v>
      </c>
      <c r="F199" s="270"/>
      <c r="G199" s="270"/>
      <c r="H199" s="270"/>
      <c r="I199" s="270">
        <v>1803</v>
      </c>
      <c r="J199" s="270">
        <v>58.026000000000003</v>
      </c>
      <c r="K199" s="270">
        <v>1809</v>
      </c>
      <c r="L199" s="270">
        <v>1803</v>
      </c>
      <c r="M199" s="270">
        <v>58.026000000000003</v>
      </c>
      <c r="N199" s="270">
        <v>58.026000000000003</v>
      </c>
      <c r="O199" s="82"/>
      <c r="P199" s="83">
        <v>1</v>
      </c>
      <c r="Q199" s="82"/>
      <c r="R199" s="82"/>
      <c r="S199" s="82"/>
      <c r="T199" s="82"/>
      <c r="U199" s="82"/>
      <c r="V199" s="82"/>
      <c r="W199" s="82"/>
      <c r="X199" s="82"/>
      <c r="Y199" s="82"/>
      <c r="Z199" s="82"/>
    </row>
    <row r="200" spans="1:26" s="83" customFormat="1" ht="33">
      <c r="A200" s="34" t="s">
        <v>25</v>
      </c>
      <c r="B200" s="269" t="s">
        <v>445</v>
      </c>
      <c r="C200" s="130" t="s">
        <v>446</v>
      </c>
      <c r="D200" s="76" t="s">
        <v>447</v>
      </c>
      <c r="E200" s="270">
        <v>2377</v>
      </c>
      <c r="F200" s="270"/>
      <c r="G200" s="270"/>
      <c r="H200" s="270"/>
      <c r="I200" s="270">
        <v>2170</v>
      </c>
      <c r="J200" s="270">
        <v>108.95</v>
      </c>
      <c r="K200" s="270">
        <v>2170</v>
      </c>
      <c r="L200" s="270">
        <v>2170</v>
      </c>
      <c r="M200" s="270">
        <v>108.95</v>
      </c>
      <c r="N200" s="270">
        <v>108.95</v>
      </c>
      <c r="O200" s="82"/>
      <c r="P200" s="83">
        <v>1</v>
      </c>
      <c r="Q200" s="82"/>
      <c r="R200" s="82"/>
      <c r="S200" s="82"/>
      <c r="T200" s="82"/>
      <c r="U200" s="82"/>
      <c r="V200" s="82"/>
      <c r="W200" s="82"/>
      <c r="X200" s="82"/>
      <c r="Y200" s="82"/>
      <c r="Z200" s="82"/>
    </row>
    <row r="201" spans="1:26" s="83" customFormat="1" ht="33">
      <c r="A201" s="34" t="s">
        <v>26</v>
      </c>
      <c r="B201" s="269" t="s">
        <v>448</v>
      </c>
      <c r="C201" s="130" t="s">
        <v>449</v>
      </c>
      <c r="D201" s="76" t="s">
        <v>450</v>
      </c>
      <c r="E201" s="270">
        <v>540</v>
      </c>
      <c r="F201" s="270"/>
      <c r="G201" s="270"/>
      <c r="H201" s="270"/>
      <c r="I201" s="270">
        <v>458</v>
      </c>
      <c r="J201" s="270">
        <v>78.371000000000009</v>
      </c>
      <c r="K201" s="270">
        <v>472</v>
      </c>
      <c r="L201" s="270">
        <v>458</v>
      </c>
      <c r="M201" s="270">
        <v>78.371000000000009</v>
      </c>
      <c r="N201" s="270">
        <v>78.371000000000009</v>
      </c>
      <c r="O201" s="82"/>
      <c r="Q201" s="82"/>
      <c r="R201" s="82"/>
      <c r="S201" s="82"/>
      <c r="T201" s="82"/>
      <c r="U201" s="82"/>
      <c r="V201" s="82"/>
      <c r="W201" s="82"/>
      <c r="X201" s="82"/>
      <c r="Y201" s="82"/>
      <c r="Z201" s="82"/>
    </row>
    <row r="202" spans="1:26" s="83" customFormat="1" ht="33">
      <c r="A202" s="34" t="s">
        <v>27</v>
      </c>
      <c r="B202" s="269" t="s">
        <v>451</v>
      </c>
      <c r="C202" s="76" t="s">
        <v>452</v>
      </c>
      <c r="D202" s="76" t="s">
        <v>453</v>
      </c>
      <c r="E202" s="270">
        <v>543</v>
      </c>
      <c r="F202" s="270"/>
      <c r="G202" s="270"/>
      <c r="H202" s="270"/>
      <c r="I202" s="270">
        <v>486</v>
      </c>
      <c r="J202" s="270">
        <v>86.111999999999995</v>
      </c>
      <c r="K202" s="270">
        <v>498</v>
      </c>
      <c r="L202" s="270">
        <v>486</v>
      </c>
      <c r="M202" s="270">
        <v>86.111999999999995</v>
      </c>
      <c r="N202" s="270">
        <v>86.111999999999995</v>
      </c>
      <c r="O202" s="82"/>
      <c r="Q202" s="82"/>
      <c r="R202" s="82"/>
      <c r="S202" s="82"/>
      <c r="T202" s="82"/>
      <c r="U202" s="82"/>
      <c r="V202" s="82"/>
      <c r="W202" s="82"/>
      <c r="X202" s="82"/>
      <c r="Y202" s="82"/>
      <c r="Z202" s="82"/>
    </row>
    <row r="203" spans="1:26" s="83" customFormat="1" ht="33">
      <c r="A203" s="34" t="s">
        <v>47</v>
      </c>
      <c r="B203" s="269" t="s">
        <v>454</v>
      </c>
      <c r="C203" s="130" t="s">
        <v>455</v>
      </c>
      <c r="D203" s="76" t="s">
        <v>456</v>
      </c>
      <c r="E203" s="270">
        <v>954</v>
      </c>
      <c r="F203" s="270"/>
      <c r="G203" s="270"/>
      <c r="H203" s="270"/>
      <c r="I203" s="270">
        <v>864</v>
      </c>
      <c r="J203" s="270">
        <v>63.915999999999997</v>
      </c>
      <c r="K203" s="270">
        <v>873</v>
      </c>
      <c r="L203" s="270">
        <v>864</v>
      </c>
      <c r="M203" s="270">
        <v>63.915999999999997</v>
      </c>
      <c r="N203" s="270">
        <v>63.915999999999997</v>
      </c>
      <c r="O203" s="82"/>
      <c r="Q203" s="82"/>
      <c r="R203" s="82"/>
      <c r="S203" s="82"/>
      <c r="T203" s="82"/>
      <c r="U203" s="82"/>
      <c r="V203" s="82"/>
      <c r="W203" s="82"/>
      <c r="X203" s="82"/>
      <c r="Y203" s="82"/>
      <c r="Z203" s="82"/>
    </row>
    <row r="204" spans="1:26" s="83" customFormat="1" ht="33">
      <c r="A204" s="34" t="s">
        <v>49</v>
      </c>
      <c r="B204" s="269" t="s">
        <v>457</v>
      </c>
      <c r="C204" s="80" t="s">
        <v>458</v>
      </c>
      <c r="D204" s="46" t="s">
        <v>459</v>
      </c>
      <c r="E204" s="270">
        <v>2487</v>
      </c>
      <c r="F204" s="270"/>
      <c r="G204" s="270"/>
      <c r="H204" s="270"/>
      <c r="I204" s="270">
        <v>2163</v>
      </c>
      <c r="J204" s="270">
        <v>153.67699999999999</v>
      </c>
      <c r="K204" s="270">
        <v>2172</v>
      </c>
      <c r="L204" s="270">
        <v>2163</v>
      </c>
      <c r="M204" s="270">
        <v>153.67699999999999</v>
      </c>
      <c r="N204" s="270">
        <v>153.67699999999999</v>
      </c>
      <c r="O204" s="82"/>
      <c r="Q204" s="82"/>
      <c r="R204" s="82"/>
      <c r="S204" s="82"/>
      <c r="T204" s="82"/>
      <c r="U204" s="82"/>
      <c r="V204" s="82"/>
      <c r="W204" s="82"/>
      <c r="X204" s="82"/>
      <c r="Y204" s="82"/>
      <c r="Z204" s="82"/>
    </row>
    <row r="205" spans="1:26" s="83" customFormat="1" ht="33">
      <c r="A205" s="34" t="s">
        <v>50</v>
      </c>
      <c r="B205" s="269" t="s">
        <v>460</v>
      </c>
      <c r="C205" s="130" t="s">
        <v>461</v>
      </c>
      <c r="D205" s="76" t="s">
        <v>462</v>
      </c>
      <c r="E205" s="270">
        <v>911</v>
      </c>
      <c r="F205" s="270"/>
      <c r="G205" s="270"/>
      <c r="H205" s="270"/>
      <c r="I205" s="270">
        <v>821</v>
      </c>
      <c r="J205" s="270">
        <v>161.16900000000001</v>
      </c>
      <c r="K205" s="270">
        <v>840</v>
      </c>
      <c r="L205" s="270">
        <v>821</v>
      </c>
      <c r="M205" s="270">
        <v>161.16900000000001</v>
      </c>
      <c r="N205" s="270">
        <v>161.16900000000001</v>
      </c>
      <c r="O205" s="82"/>
      <c r="Q205" s="82"/>
      <c r="R205" s="82"/>
      <c r="S205" s="82"/>
      <c r="T205" s="82"/>
      <c r="U205" s="82"/>
      <c r="V205" s="82"/>
      <c r="W205" s="82"/>
      <c r="X205" s="82"/>
      <c r="Y205" s="82"/>
      <c r="Z205" s="82"/>
    </row>
    <row r="206" spans="1:26" s="83" customFormat="1" ht="33">
      <c r="A206" s="34" t="s">
        <v>51</v>
      </c>
      <c r="B206" s="269" t="s">
        <v>463</v>
      </c>
      <c r="C206" s="130" t="s">
        <v>464</v>
      </c>
      <c r="D206" s="76" t="s">
        <v>465</v>
      </c>
      <c r="E206" s="270">
        <v>1097</v>
      </c>
      <c r="F206" s="270"/>
      <c r="G206" s="270"/>
      <c r="H206" s="270"/>
      <c r="I206" s="270">
        <v>961</v>
      </c>
      <c r="J206" s="270">
        <v>202</v>
      </c>
      <c r="K206" s="270">
        <v>975</v>
      </c>
      <c r="L206" s="270">
        <v>961</v>
      </c>
      <c r="M206" s="270">
        <v>202</v>
      </c>
      <c r="N206" s="270">
        <v>202</v>
      </c>
      <c r="O206" s="82"/>
      <c r="Q206" s="82"/>
      <c r="R206" s="82"/>
      <c r="S206" s="82"/>
      <c r="T206" s="82"/>
      <c r="U206" s="82"/>
      <c r="V206" s="82"/>
      <c r="W206" s="82"/>
      <c r="X206" s="82"/>
      <c r="Y206" s="82"/>
      <c r="Z206" s="82"/>
    </row>
    <row r="207" spans="1:26" s="83" customFormat="1" ht="33">
      <c r="A207" s="34" t="s">
        <v>53</v>
      </c>
      <c r="B207" s="269" t="s">
        <v>466</v>
      </c>
      <c r="C207" s="130" t="s">
        <v>467</v>
      </c>
      <c r="D207" s="76" t="s">
        <v>468</v>
      </c>
      <c r="E207" s="270">
        <v>2288</v>
      </c>
      <c r="F207" s="270"/>
      <c r="G207" s="270"/>
      <c r="H207" s="270"/>
      <c r="I207" s="270">
        <v>1985</v>
      </c>
      <c r="J207" s="270">
        <v>392</v>
      </c>
      <c r="K207" s="270">
        <v>2037</v>
      </c>
      <c r="L207" s="270">
        <v>1985</v>
      </c>
      <c r="M207" s="270">
        <v>392</v>
      </c>
      <c r="N207" s="270">
        <v>392</v>
      </c>
      <c r="O207" s="82"/>
      <c r="P207" s="83">
        <v>1</v>
      </c>
      <c r="Q207" s="82"/>
      <c r="R207" s="82"/>
      <c r="S207" s="82"/>
      <c r="T207" s="82"/>
      <c r="U207" s="82"/>
      <c r="V207" s="82"/>
      <c r="W207" s="82"/>
      <c r="X207" s="82"/>
      <c r="Y207" s="82"/>
      <c r="Z207" s="82"/>
    </row>
    <row r="208" spans="1:26" s="83" customFormat="1" ht="33">
      <c r="A208" s="34" t="s">
        <v>55</v>
      </c>
      <c r="B208" s="269" t="s">
        <v>469</v>
      </c>
      <c r="C208" s="272" t="s">
        <v>470</v>
      </c>
      <c r="D208" s="272" t="s">
        <v>471</v>
      </c>
      <c r="E208" s="270">
        <v>476</v>
      </c>
      <c r="F208" s="270"/>
      <c r="G208" s="270"/>
      <c r="H208" s="270"/>
      <c r="I208" s="270">
        <v>376</v>
      </c>
      <c r="J208" s="270">
        <v>40</v>
      </c>
      <c r="K208" s="270">
        <v>376</v>
      </c>
      <c r="L208" s="270">
        <v>376</v>
      </c>
      <c r="M208" s="270">
        <v>40</v>
      </c>
      <c r="N208" s="270">
        <v>40</v>
      </c>
      <c r="O208" s="82"/>
      <c r="Q208" s="82"/>
      <c r="R208" s="82"/>
      <c r="S208" s="82"/>
      <c r="T208" s="82"/>
      <c r="U208" s="82"/>
      <c r="V208" s="82"/>
      <c r="W208" s="82"/>
      <c r="X208" s="82"/>
      <c r="Y208" s="82"/>
      <c r="Z208" s="82"/>
    </row>
    <row r="209" spans="1:26" s="83" customFormat="1" ht="33">
      <c r="A209" s="34" t="s">
        <v>56</v>
      </c>
      <c r="B209" s="58" t="s">
        <v>472</v>
      </c>
      <c r="C209" s="76" t="s">
        <v>467</v>
      </c>
      <c r="D209" s="76" t="s">
        <v>473</v>
      </c>
      <c r="E209" s="270">
        <v>4798</v>
      </c>
      <c r="F209" s="270"/>
      <c r="G209" s="270"/>
      <c r="H209" s="270"/>
      <c r="I209" s="270"/>
      <c r="J209" s="270">
        <v>22</v>
      </c>
      <c r="K209" s="270"/>
      <c r="L209" s="270"/>
      <c r="M209" s="270">
        <v>22</v>
      </c>
      <c r="N209" s="270">
        <v>22</v>
      </c>
      <c r="O209" s="82"/>
      <c r="Q209" s="82"/>
      <c r="R209" s="82"/>
      <c r="S209" s="82"/>
      <c r="T209" s="82"/>
      <c r="U209" s="82"/>
      <c r="V209" s="82"/>
      <c r="W209" s="82"/>
      <c r="X209" s="82"/>
      <c r="Y209" s="82"/>
      <c r="Z209" s="82"/>
    </row>
    <row r="210" spans="1:26" s="83" customFormat="1" ht="33">
      <c r="A210" s="34" t="s">
        <v>57</v>
      </c>
      <c r="B210" s="58" t="s">
        <v>474</v>
      </c>
      <c r="C210" s="130" t="s">
        <v>475</v>
      </c>
      <c r="D210" s="76" t="s">
        <v>476</v>
      </c>
      <c r="E210" s="270">
        <v>1497</v>
      </c>
      <c r="F210" s="270"/>
      <c r="G210" s="270"/>
      <c r="H210" s="270"/>
      <c r="I210" s="270">
        <v>1406</v>
      </c>
      <c r="J210" s="270">
        <v>29</v>
      </c>
      <c r="K210" s="270">
        <v>1412</v>
      </c>
      <c r="L210" s="270">
        <v>1406</v>
      </c>
      <c r="M210" s="270">
        <v>29</v>
      </c>
      <c r="N210" s="270">
        <v>29</v>
      </c>
      <c r="O210" s="82"/>
      <c r="Q210" s="82"/>
      <c r="R210" s="82"/>
      <c r="S210" s="82"/>
      <c r="T210" s="82"/>
      <c r="U210" s="82"/>
      <c r="V210" s="82"/>
      <c r="W210" s="82"/>
      <c r="X210" s="82"/>
      <c r="Y210" s="82"/>
      <c r="Z210" s="82"/>
    </row>
    <row r="211" spans="1:26" s="210" customFormat="1" ht="33">
      <c r="A211" s="246"/>
      <c r="B211" s="22" t="s">
        <v>141</v>
      </c>
      <c r="C211" s="23"/>
      <c r="D211" s="24"/>
      <c r="E211" s="273"/>
      <c r="F211" s="273"/>
      <c r="G211" s="273"/>
      <c r="H211" s="273"/>
      <c r="I211" s="273"/>
      <c r="J211" s="273"/>
      <c r="K211" s="273"/>
      <c r="L211" s="273"/>
      <c r="M211" s="273"/>
      <c r="N211" s="273"/>
      <c r="O211" s="211"/>
      <c r="Q211" s="82"/>
      <c r="R211" s="82"/>
      <c r="S211" s="82"/>
      <c r="T211" s="82"/>
      <c r="U211" s="82"/>
      <c r="V211" s="82"/>
      <c r="W211" s="82"/>
      <c r="X211" s="82"/>
      <c r="Y211" s="82"/>
      <c r="Z211" s="82"/>
    </row>
    <row r="212" spans="1:26" s="210" customFormat="1" ht="33">
      <c r="A212" s="246"/>
      <c r="B212" s="22" t="s">
        <v>335</v>
      </c>
      <c r="C212" s="23"/>
      <c r="D212" s="24"/>
      <c r="E212" s="273">
        <f>SUM(E213:E227)</f>
        <v>14093</v>
      </c>
      <c r="F212" s="273">
        <f t="shared" ref="F212:N212" si="33">SUM(F213:F227)</f>
        <v>0</v>
      </c>
      <c r="G212" s="273">
        <f t="shared" si="33"/>
        <v>4574</v>
      </c>
      <c r="H212" s="273">
        <f t="shared" si="33"/>
        <v>9519</v>
      </c>
      <c r="I212" s="273">
        <f t="shared" si="33"/>
        <v>12717</v>
      </c>
      <c r="J212" s="273">
        <f t="shared" si="33"/>
        <v>4574</v>
      </c>
      <c r="K212" s="273">
        <f t="shared" si="33"/>
        <v>10923.7</v>
      </c>
      <c r="L212" s="273">
        <f t="shared" si="33"/>
        <v>12717</v>
      </c>
      <c r="M212" s="273">
        <f t="shared" si="33"/>
        <v>4574</v>
      </c>
      <c r="N212" s="273">
        <f t="shared" si="33"/>
        <v>4574</v>
      </c>
      <c r="O212" s="211"/>
      <c r="Q212" s="82"/>
      <c r="R212" s="82"/>
      <c r="S212" s="82"/>
      <c r="T212" s="82"/>
      <c r="U212" s="82"/>
      <c r="V212" s="82"/>
      <c r="W212" s="82"/>
      <c r="X212" s="82"/>
      <c r="Y212" s="82"/>
      <c r="Z212" s="82"/>
    </row>
    <row r="213" spans="1:26" s="83" customFormat="1" ht="33">
      <c r="A213" s="34" t="s">
        <v>21</v>
      </c>
      <c r="B213" s="121" t="s">
        <v>477</v>
      </c>
      <c r="C213" s="50" t="s">
        <v>478</v>
      </c>
      <c r="D213" s="39" t="s">
        <v>479</v>
      </c>
      <c r="E213" s="274">
        <v>1518</v>
      </c>
      <c r="F213" s="270"/>
      <c r="G213" s="270">
        <v>255</v>
      </c>
      <c r="H213" s="270">
        <f>+E213-G213</f>
        <v>1263</v>
      </c>
      <c r="I213" s="270">
        <v>1384</v>
      </c>
      <c r="J213" s="270">
        <v>255</v>
      </c>
      <c r="K213" s="270">
        <v>1398</v>
      </c>
      <c r="L213" s="270">
        <v>1384</v>
      </c>
      <c r="M213" s="270">
        <v>255</v>
      </c>
      <c r="N213" s="270">
        <v>255</v>
      </c>
      <c r="O213" s="82"/>
      <c r="P213" s="83">
        <v>1</v>
      </c>
      <c r="Q213" s="82"/>
      <c r="R213" s="82"/>
      <c r="S213" s="82"/>
      <c r="T213" s="82"/>
      <c r="U213" s="82"/>
      <c r="V213" s="82"/>
      <c r="W213" s="82"/>
      <c r="X213" s="82"/>
      <c r="Y213" s="82"/>
      <c r="Z213" s="82"/>
    </row>
    <row r="214" spans="1:26" s="83" customFormat="1" ht="49.5">
      <c r="A214" s="34" t="s">
        <v>28</v>
      </c>
      <c r="B214" s="58" t="s">
        <v>480</v>
      </c>
      <c r="C214" s="50" t="s">
        <v>481</v>
      </c>
      <c r="D214" s="53" t="s">
        <v>482</v>
      </c>
      <c r="E214" s="54">
        <v>2061</v>
      </c>
      <c r="F214" s="270"/>
      <c r="G214" s="270">
        <v>1240</v>
      </c>
      <c r="H214" s="270">
        <f t="shared" ref="H214:H227" si="34">+E214-G214</f>
        <v>821</v>
      </c>
      <c r="I214" s="274">
        <f>1843</f>
        <v>1843</v>
      </c>
      <c r="J214" s="270">
        <v>1240</v>
      </c>
      <c r="K214" s="274">
        <v>1876</v>
      </c>
      <c r="L214" s="274">
        <f>1843</f>
        <v>1843</v>
      </c>
      <c r="M214" s="270">
        <v>1240</v>
      </c>
      <c r="N214" s="270">
        <v>1240</v>
      </c>
      <c r="O214" s="82"/>
      <c r="Q214" s="82"/>
      <c r="R214" s="82"/>
      <c r="S214" s="82"/>
      <c r="T214" s="82"/>
      <c r="U214" s="82"/>
      <c r="V214" s="82"/>
      <c r="W214" s="82"/>
      <c r="X214" s="82"/>
      <c r="Y214" s="82"/>
      <c r="Z214" s="82"/>
    </row>
    <row r="215" spans="1:26" s="83" customFormat="1" ht="33">
      <c r="A215" s="34" t="s">
        <v>24</v>
      </c>
      <c r="B215" s="121" t="s">
        <v>483</v>
      </c>
      <c r="C215" s="50" t="s">
        <v>484</v>
      </c>
      <c r="D215" s="39" t="s">
        <v>485</v>
      </c>
      <c r="E215" s="274">
        <v>713</v>
      </c>
      <c r="F215" s="270"/>
      <c r="G215" s="270">
        <v>19</v>
      </c>
      <c r="H215" s="270">
        <f t="shared" si="34"/>
        <v>694</v>
      </c>
      <c r="I215" s="274">
        <v>640</v>
      </c>
      <c r="J215" s="270">
        <v>19</v>
      </c>
      <c r="K215" s="274">
        <v>647</v>
      </c>
      <c r="L215" s="274">
        <v>640</v>
      </c>
      <c r="M215" s="270">
        <v>19</v>
      </c>
      <c r="N215" s="270">
        <v>19</v>
      </c>
      <c r="O215" s="82"/>
      <c r="Q215" s="82"/>
      <c r="R215" s="82"/>
      <c r="S215" s="82"/>
      <c r="T215" s="82"/>
      <c r="U215" s="82"/>
      <c r="V215" s="82"/>
      <c r="W215" s="82"/>
      <c r="X215" s="82"/>
      <c r="Y215" s="82"/>
      <c r="Z215" s="82"/>
    </row>
    <row r="216" spans="1:26" s="83" customFormat="1" ht="33">
      <c r="A216" s="34" t="s">
        <v>25</v>
      </c>
      <c r="B216" s="121" t="s">
        <v>486</v>
      </c>
      <c r="C216" s="50" t="s">
        <v>487</v>
      </c>
      <c r="D216" s="39" t="s">
        <v>488</v>
      </c>
      <c r="E216" s="274">
        <v>2480</v>
      </c>
      <c r="F216" s="270"/>
      <c r="G216" s="270">
        <v>311</v>
      </c>
      <c r="H216" s="270">
        <f t="shared" si="34"/>
        <v>2169</v>
      </c>
      <c r="I216" s="274">
        <f>2278+65</f>
        <v>2343</v>
      </c>
      <c r="J216" s="270">
        <v>311</v>
      </c>
      <c r="K216" s="275">
        <v>2367</v>
      </c>
      <c r="L216" s="274">
        <f>2278+65</f>
        <v>2343</v>
      </c>
      <c r="M216" s="270">
        <v>311</v>
      </c>
      <c r="N216" s="270">
        <v>311</v>
      </c>
      <c r="O216" s="82"/>
      <c r="P216" s="83">
        <v>1</v>
      </c>
      <c r="Q216" s="82"/>
      <c r="R216" s="82"/>
      <c r="S216" s="82"/>
      <c r="T216" s="82"/>
      <c r="U216" s="82"/>
      <c r="V216" s="82"/>
      <c r="W216" s="82"/>
      <c r="X216" s="82"/>
      <c r="Y216" s="82"/>
      <c r="Z216" s="82"/>
    </row>
    <row r="217" spans="1:26" s="83" customFormat="1" ht="33">
      <c r="A217" s="34" t="s">
        <v>26</v>
      </c>
      <c r="B217" s="121" t="s">
        <v>489</v>
      </c>
      <c r="C217" s="39" t="s">
        <v>490</v>
      </c>
      <c r="D217" s="39" t="s">
        <v>491</v>
      </c>
      <c r="E217" s="274">
        <v>314</v>
      </c>
      <c r="F217" s="270"/>
      <c r="G217" s="270">
        <v>4</v>
      </c>
      <c r="H217" s="270">
        <f t="shared" si="34"/>
        <v>310</v>
      </c>
      <c r="I217" s="274">
        <v>244</v>
      </c>
      <c r="J217" s="270">
        <v>4</v>
      </c>
      <c r="K217" s="275">
        <v>297</v>
      </c>
      <c r="L217" s="274">
        <v>244</v>
      </c>
      <c r="M217" s="270">
        <v>4</v>
      </c>
      <c r="N217" s="270">
        <v>4</v>
      </c>
      <c r="O217" s="82"/>
      <c r="P217" s="83">
        <v>1</v>
      </c>
      <c r="Q217" s="82"/>
      <c r="R217" s="82"/>
      <c r="S217" s="82"/>
      <c r="T217" s="82"/>
      <c r="U217" s="82"/>
      <c r="V217" s="82"/>
      <c r="W217" s="82"/>
      <c r="X217" s="82"/>
      <c r="Y217" s="82"/>
      <c r="Z217" s="82"/>
    </row>
    <row r="218" spans="1:26" s="83" customFormat="1" ht="33">
      <c r="A218" s="34" t="s">
        <v>27</v>
      </c>
      <c r="B218" s="121" t="s">
        <v>492</v>
      </c>
      <c r="C218" s="276" t="s">
        <v>481</v>
      </c>
      <c r="D218" s="39" t="s">
        <v>493</v>
      </c>
      <c r="E218" s="274">
        <v>375</v>
      </c>
      <c r="F218" s="270"/>
      <c r="G218" s="270">
        <v>193</v>
      </c>
      <c r="H218" s="270">
        <f t="shared" si="34"/>
        <v>182</v>
      </c>
      <c r="I218" s="274">
        <v>343</v>
      </c>
      <c r="J218" s="270">
        <v>193</v>
      </c>
      <c r="K218" s="275">
        <v>343</v>
      </c>
      <c r="L218" s="274">
        <v>343</v>
      </c>
      <c r="M218" s="270">
        <v>193</v>
      </c>
      <c r="N218" s="270">
        <v>193</v>
      </c>
      <c r="O218" s="82"/>
      <c r="Q218" s="82"/>
      <c r="R218" s="82"/>
      <c r="S218" s="82"/>
      <c r="T218" s="82"/>
      <c r="U218" s="82"/>
      <c r="V218" s="82"/>
      <c r="W218" s="82"/>
      <c r="X218" s="82"/>
      <c r="Y218" s="82"/>
      <c r="Z218" s="82"/>
    </row>
    <row r="219" spans="1:26" s="83" customFormat="1" ht="33">
      <c r="A219" s="34" t="s">
        <v>47</v>
      </c>
      <c r="B219" s="121" t="s">
        <v>494</v>
      </c>
      <c r="C219" s="50" t="s">
        <v>495</v>
      </c>
      <c r="D219" s="39" t="s">
        <v>496</v>
      </c>
      <c r="E219" s="274">
        <v>1162</v>
      </c>
      <c r="F219" s="270"/>
      <c r="G219" s="270">
        <v>519</v>
      </c>
      <c r="H219" s="270">
        <f t="shared" si="34"/>
        <v>643</v>
      </c>
      <c r="I219" s="274">
        <v>1020</v>
      </c>
      <c r="J219" s="274">
        <v>519</v>
      </c>
      <c r="K219" s="274">
        <f>928+96+27+23+11+1.7</f>
        <v>1086.7</v>
      </c>
      <c r="L219" s="274">
        <v>1020</v>
      </c>
      <c r="M219" s="274">
        <v>519</v>
      </c>
      <c r="N219" s="274">
        <v>519</v>
      </c>
      <c r="O219" s="82"/>
      <c r="Q219" s="82"/>
      <c r="R219" s="82"/>
      <c r="S219" s="82"/>
      <c r="T219" s="82"/>
      <c r="U219" s="82"/>
      <c r="V219" s="82"/>
      <c r="W219" s="82"/>
      <c r="X219" s="82"/>
      <c r="Y219" s="82"/>
      <c r="Z219" s="82"/>
    </row>
    <row r="220" spans="1:26" s="83" customFormat="1" ht="49.5">
      <c r="A220" s="34" t="s">
        <v>49</v>
      </c>
      <c r="B220" s="121" t="s">
        <v>497</v>
      </c>
      <c r="C220" s="50" t="s">
        <v>495</v>
      </c>
      <c r="D220" s="39" t="s">
        <v>498</v>
      </c>
      <c r="E220" s="274">
        <v>1193</v>
      </c>
      <c r="F220" s="270"/>
      <c r="G220" s="270">
        <v>100</v>
      </c>
      <c r="H220" s="270">
        <f t="shared" si="34"/>
        <v>1093</v>
      </c>
      <c r="I220" s="274">
        <v>1000</v>
      </c>
      <c r="J220" s="275">
        <v>100</v>
      </c>
      <c r="K220" s="275">
        <v>1093</v>
      </c>
      <c r="L220" s="274">
        <v>1000</v>
      </c>
      <c r="M220" s="275">
        <v>100</v>
      </c>
      <c r="N220" s="275">
        <v>100</v>
      </c>
      <c r="O220" s="82"/>
      <c r="P220" s="83">
        <v>1</v>
      </c>
      <c r="Q220" s="82"/>
      <c r="R220" s="82"/>
      <c r="S220" s="82"/>
      <c r="T220" s="82"/>
      <c r="U220" s="82"/>
      <c r="V220" s="82"/>
      <c r="W220" s="82"/>
      <c r="X220" s="82"/>
      <c r="Y220" s="82"/>
      <c r="Z220" s="82"/>
    </row>
    <row r="221" spans="1:26" s="83" customFormat="1" ht="33">
      <c r="A221" s="34" t="s">
        <v>50</v>
      </c>
      <c r="B221" s="269" t="s">
        <v>499</v>
      </c>
      <c r="C221" s="76">
        <v>2018</v>
      </c>
      <c r="D221" s="76"/>
      <c r="E221" s="270">
        <v>339</v>
      </c>
      <c r="F221" s="270"/>
      <c r="G221" s="270">
        <v>339</v>
      </c>
      <c r="H221" s="270">
        <f t="shared" si="34"/>
        <v>0</v>
      </c>
      <c r="I221" s="270">
        <v>339</v>
      </c>
      <c r="J221" s="270">
        <v>339</v>
      </c>
      <c r="K221" s="270">
        <v>339</v>
      </c>
      <c r="L221" s="270">
        <v>339</v>
      </c>
      <c r="M221" s="270">
        <v>339</v>
      </c>
      <c r="N221" s="270">
        <v>339</v>
      </c>
      <c r="O221" s="82"/>
      <c r="Q221" s="82"/>
      <c r="R221" s="82"/>
      <c r="S221" s="82"/>
      <c r="T221" s="82"/>
      <c r="U221" s="82"/>
      <c r="V221" s="82"/>
      <c r="W221" s="82"/>
      <c r="X221" s="82"/>
      <c r="Y221" s="82"/>
      <c r="Z221" s="82"/>
    </row>
    <row r="222" spans="1:26" s="83" customFormat="1" ht="49.5">
      <c r="A222" s="34" t="s">
        <v>51</v>
      </c>
      <c r="B222" s="277" t="s">
        <v>500</v>
      </c>
      <c r="C222" s="278" t="s">
        <v>501</v>
      </c>
      <c r="D222" s="76" t="s">
        <v>502</v>
      </c>
      <c r="E222" s="270">
        <v>207</v>
      </c>
      <c r="F222" s="270"/>
      <c r="G222" s="270">
        <v>203</v>
      </c>
      <c r="H222" s="270">
        <f t="shared" si="34"/>
        <v>4</v>
      </c>
      <c r="I222" s="270">
        <v>203</v>
      </c>
      <c r="J222" s="270">
        <v>203</v>
      </c>
      <c r="K222" s="270">
        <v>203</v>
      </c>
      <c r="L222" s="270">
        <v>203</v>
      </c>
      <c r="M222" s="270">
        <v>203</v>
      </c>
      <c r="N222" s="270">
        <v>203</v>
      </c>
      <c r="O222" s="82"/>
      <c r="Q222" s="82"/>
      <c r="R222" s="82"/>
      <c r="S222" s="82"/>
      <c r="T222" s="82"/>
      <c r="U222" s="82"/>
      <c r="V222" s="82"/>
      <c r="W222" s="82"/>
      <c r="X222" s="82"/>
      <c r="Y222" s="82"/>
      <c r="Z222" s="82"/>
    </row>
    <row r="223" spans="1:26" s="83" customFormat="1" ht="33">
      <c r="A223" s="34" t="s">
        <v>53</v>
      </c>
      <c r="B223" s="269" t="s">
        <v>503</v>
      </c>
      <c r="C223" s="76">
        <v>2017</v>
      </c>
      <c r="D223" s="76"/>
      <c r="E223" s="270">
        <v>280</v>
      </c>
      <c r="F223" s="270"/>
      <c r="G223" s="270">
        <v>280</v>
      </c>
      <c r="H223" s="270">
        <f t="shared" si="34"/>
        <v>0</v>
      </c>
      <c r="I223" s="270">
        <v>280</v>
      </c>
      <c r="J223" s="270">
        <v>280</v>
      </c>
      <c r="K223" s="270">
        <v>280</v>
      </c>
      <c r="L223" s="270">
        <v>280</v>
      </c>
      <c r="M223" s="270">
        <v>280</v>
      </c>
      <c r="N223" s="270">
        <v>280</v>
      </c>
      <c r="O223" s="82"/>
      <c r="Q223" s="82"/>
      <c r="R223" s="82"/>
      <c r="S223" s="82"/>
      <c r="T223" s="82"/>
      <c r="U223" s="82"/>
      <c r="V223" s="82"/>
      <c r="W223" s="82"/>
      <c r="X223" s="82"/>
      <c r="Y223" s="82"/>
      <c r="Z223" s="82"/>
    </row>
    <row r="224" spans="1:26" s="83" customFormat="1" ht="33">
      <c r="A224" s="34" t="s">
        <v>55</v>
      </c>
      <c r="B224" s="269" t="s">
        <v>504</v>
      </c>
      <c r="C224" s="278" t="s">
        <v>505</v>
      </c>
      <c r="D224" s="279" t="s">
        <v>506</v>
      </c>
      <c r="E224" s="270">
        <v>358</v>
      </c>
      <c r="F224" s="270"/>
      <c r="G224" s="270">
        <v>93</v>
      </c>
      <c r="H224" s="270">
        <f t="shared" si="34"/>
        <v>265</v>
      </c>
      <c r="I224" s="270">
        <v>310</v>
      </c>
      <c r="J224" s="270">
        <v>93</v>
      </c>
      <c r="K224" s="270">
        <v>354</v>
      </c>
      <c r="L224" s="270">
        <v>310</v>
      </c>
      <c r="M224" s="270">
        <v>93</v>
      </c>
      <c r="N224" s="270">
        <v>93</v>
      </c>
      <c r="O224" s="82"/>
      <c r="Q224" s="82"/>
      <c r="R224" s="82"/>
      <c r="S224" s="82"/>
      <c r="T224" s="82"/>
      <c r="U224" s="82"/>
      <c r="V224" s="82"/>
      <c r="W224" s="82"/>
      <c r="X224" s="82"/>
      <c r="Y224" s="82"/>
      <c r="Z224" s="82"/>
    </row>
    <row r="225" spans="1:26" s="83" customFormat="1" ht="33">
      <c r="A225" s="34" t="s">
        <v>56</v>
      </c>
      <c r="B225" s="277" t="s">
        <v>507</v>
      </c>
      <c r="C225" s="130" t="s">
        <v>508</v>
      </c>
      <c r="D225" s="76" t="s">
        <v>509</v>
      </c>
      <c r="E225" s="270">
        <v>2543</v>
      </c>
      <c r="F225" s="270"/>
      <c r="G225" s="270">
        <v>477</v>
      </c>
      <c r="H225" s="270">
        <f t="shared" si="34"/>
        <v>2066</v>
      </c>
      <c r="I225" s="270">
        <v>2227</v>
      </c>
      <c r="J225" s="270">
        <v>477</v>
      </c>
      <c r="K225" s="270">
        <v>251</v>
      </c>
      <c r="L225" s="270">
        <v>2227</v>
      </c>
      <c r="M225" s="270">
        <v>477</v>
      </c>
      <c r="N225" s="270">
        <v>477</v>
      </c>
      <c r="O225" s="82"/>
      <c r="Q225" s="82"/>
      <c r="R225" s="82"/>
      <c r="S225" s="82"/>
      <c r="T225" s="82"/>
      <c r="U225" s="82"/>
      <c r="V225" s="82"/>
      <c r="W225" s="82"/>
      <c r="X225" s="82"/>
      <c r="Y225" s="82"/>
      <c r="Z225" s="82"/>
    </row>
    <row r="226" spans="1:26" s="83" customFormat="1" ht="16.5">
      <c r="A226" s="34" t="s">
        <v>57</v>
      </c>
      <c r="B226" s="269" t="s">
        <v>510</v>
      </c>
      <c r="C226" s="76">
        <v>2019</v>
      </c>
      <c r="D226" s="76"/>
      <c r="E226" s="270">
        <v>152</v>
      </c>
      <c r="F226" s="270"/>
      <c r="G226" s="270">
        <v>152</v>
      </c>
      <c r="H226" s="270">
        <f t="shared" si="34"/>
        <v>0</v>
      </c>
      <c r="I226" s="270">
        <v>152</v>
      </c>
      <c r="J226" s="270">
        <v>152</v>
      </c>
      <c r="K226" s="270"/>
      <c r="L226" s="270">
        <v>152</v>
      </c>
      <c r="M226" s="270">
        <v>152</v>
      </c>
      <c r="N226" s="270">
        <v>152</v>
      </c>
      <c r="O226" s="82"/>
      <c r="Q226" s="82"/>
      <c r="R226" s="82"/>
      <c r="S226" s="82"/>
      <c r="T226" s="82"/>
      <c r="U226" s="82"/>
      <c r="V226" s="82"/>
      <c r="W226" s="82"/>
      <c r="X226" s="82"/>
      <c r="Y226" s="82"/>
      <c r="Z226" s="82"/>
    </row>
    <row r="227" spans="1:26" s="83" customFormat="1" ht="49.5">
      <c r="A227" s="34" t="s">
        <v>58</v>
      </c>
      <c r="B227" s="58" t="s">
        <v>511</v>
      </c>
      <c r="C227" s="76">
        <v>2019</v>
      </c>
      <c r="D227" s="76"/>
      <c r="E227" s="270">
        <v>398</v>
      </c>
      <c r="F227" s="270"/>
      <c r="G227" s="270">
        <v>389</v>
      </c>
      <c r="H227" s="270">
        <f t="shared" si="34"/>
        <v>9</v>
      </c>
      <c r="I227" s="270">
        <v>389</v>
      </c>
      <c r="J227" s="270">
        <v>389</v>
      </c>
      <c r="K227" s="270">
        <v>389</v>
      </c>
      <c r="L227" s="270">
        <v>389</v>
      </c>
      <c r="M227" s="270">
        <v>389</v>
      </c>
      <c r="N227" s="270">
        <v>389</v>
      </c>
      <c r="O227" s="82"/>
      <c r="Q227" s="82"/>
      <c r="R227" s="82"/>
      <c r="S227" s="82"/>
      <c r="T227" s="82"/>
      <c r="U227" s="82"/>
      <c r="V227" s="82"/>
      <c r="W227" s="82"/>
      <c r="X227" s="82"/>
      <c r="Y227" s="82"/>
      <c r="Z227" s="82"/>
    </row>
    <row r="228" spans="1:26" s="210" customFormat="1" ht="16.5">
      <c r="A228" s="246" t="s">
        <v>616</v>
      </c>
      <c r="B228" s="81" t="s">
        <v>543</v>
      </c>
      <c r="C228" s="247"/>
      <c r="D228" s="247"/>
      <c r="E228" s="37">
        <f t="shared" ref="E228:N228" si="35">E229+E234+E235</f>
        <v>24227.928</v>
      </c>
      <c r="F228" s="37">
        <f t="shared" si="35"/>
        <v>0</v>
      </c>
      <c r="G228" s="37">
        <f t="shared" si="35"/>
        <v>0</v>
      </c>
      <c r="H228" s="37">
        <f t="shared" si="35"/>
        <v>24228.7</v>
      </c>
      <c r="I228" s="37">
        <f t="shared" si="35"/>
        <v>22309</v>
      </c>
      <c r="J228" s="37">
        <f t="shared" si="35"/>
        <v>15974</v>
      </c>
      <c r="K228" s="37">
        <f t="shared" si="35"/>
        <v>22333</v>
      </c>
      <c r="L228" s="37">
        <f t="shared" si="35"/>
        <v>22333</v>
      </c>
      <c r="M228" s="37">
        <f t="shared" si="35"/>
        <v>14674</v>
      </c>
      <c r="N228" s="37">
        <f t="shared" si="35"/>
        <v>15974</v>
      </c>
      <c r="O228" s="211"/>
      <c r="Q228" s="82"/>
      <c r="R228" s="82"/>
      <c r="S228" s="82"/>
      <c r="T228" s="82"/>
      <c r="U228" s="82"/>
      <c r="V228" s="82"/>
      <c r="W228" s="82"/>
      <c r="X228" s="82"/>
      <c r="Y228" s="82"/>
      <c r="Z228" s="82"/>
    </row>
    <row r="229" spans="1:26" s="210" customFormat="1" ht="49.5">
      <c r="A229" s="246"/>
      <c r="B229" s="73" t="s">
        <v>379</v>
      </c>
      <c r="C229" s="247"/>
      <c r="D229" s="247"/>
      <c r="E229" s="37">
        <f>SUM(E230:E233)</f>
        <v>10193</v>
      </c>
      <c r="F229" s="37">
        <f t="shared" ref="F229:N229" si="36">SUM(F230:F233)</f>
        <v>0</v>
      </c>
      <c r="G229" s="37">
        <f t="shared" si="36"/>
        <v>0</v>
      </c>
      <c r="H229" s="37">
        <f t="shared" si="36"/>
        <v>10193</v>
      </c>
      <c r="I229" s="37">
        <f t="shared" si="36"/>
        <v>8970</v>
      </c>
      <c r="J229" s="37">
        <f t="shared" si="36"/>
        <v>3565</v>
      </c>
      <c r="K229" s="37">
        <f t="shared" si="36"/>
        <v>9125</v>
      </c>
      <c r="L229" s="37">
        <f t="shared" si="36"/>
        <v>9125</v>
      </c>
      <c r="M229" s="37">
        <f t="shared" si="36"/>
        <v>3565</v>
      </c>
      <c r="N229" s="37">
        <f t="shared" si="36"/>
        <v>3565</v>
      </c>
      <c r="O229" s="211"/>
      <c r="Q229" s="82"/>
      <c r="R229" s="82"/>
      <c r="S229" s="82"/>
      <c r="T229" s="82"/>
      <c r="U229" s="82"/>
      <c r="V229" s="82"/>
      <c r="W229" s="82"/>
      <c r="X229" s="82"/>
      <c r="Y229" s="82"/>
      <c r="Z229" s="82"/>
    </row>
    <row r="230" spans="1:26" s="83" customFormat="1" ht="49.5">
      <c r="A230" s="34" t="s">
        <v>21</v>
      </c>
      <c r="B230" s="42" t="s">
        <v>513</v>
      </c>
      <c r="C230" s="43" t="s">
        <v>514</v>
      </c>
      <c r="D230" s="44" t="s">
        <v>515</v>
      </c>
      <c r="E230" s="45">
        <v>4206</v>
      </c>
      <c r="F230" s="33"/>
      <c r="G230" s="33"/>
      <c r="H230" s="33">
        <v>4206</v>
      </c>
      <c r="I230" s="33">
        <v>3653</v>
      </c>
      <c r="J230" s="33">
        <v>1600</v>
      </c>
      <c r="K230" s="45">
        <v>3757</v>
      </c>
      <c r="L230" s="33">
        <v>3757</v>
      </c>
      <c r="M230" s="33">
        <v>1600</v>
      </c>
      <c r="N230" s="33">
        <v>1600</v>
      </c>
      <c r="O230" s="82"/>
      <c r="Q230" s="82"/>
      <c r="R230" s="82"/>
      <c r="S230" s="82"/>
      <c r="T230" s="82"/>
      <c r="U230" s="82"/>
      <c r="V230" s="82"/>
      <c r="W230" s="82"/>
      <c r="X230" s="82"/>
      <c r="Y230" s="82"/>
      <c r="Z230" s="82"/>
    </row>
    <row r="231" spans="1:26" s="83" customFormat="1" ht="49.5">
      <c r="A231" s="34" t="s">
        <v>28</v>
      </c>
      <c r="B231" s="42" t="s">
        <v>516</v>
      </c>
      <c r="C231" s="43" t="s">
        <v>517</v>
      </c>
      <c r="D231" s="44" t="s">
        <v>518</v>
      </c>
      <c r="E231" s="45">
        <v>920</v>
      </c>
      <c r="F231" s="33"/>
      <c r="G231" s="33"/>
      <c r="H231" s="33">
        <v>920</v>
      </c>
      <c r="I231" s="33">
        <v>760</v>
      </c>
      <c r="J231" s="33">
        <v>465</v>
      </c>
      <c r="K231" s="33">
        <v>783</v>
      </c>
      <c r="L231" s="33">
        <v>783</v>
      </c>
      <c r="M231" s="33">
        <v>465</v>
      </c>
      <c r="N231" s="33">
        <v>465</v>
      </c>
      <c r="O231" s="82"/>
      <c r="Q231" s="82"/>
      <c r="R231" s="82"/>
      <c r="S231" s="82"/>
      <c r="T231" s="82"/>
      <c r="U231" s="82"/>
      <c r="V231" s="82"/>
      <c r="W231" s="82"/>
      <c r="X231" s="82">
        <v>70</v>
      </c>
      <c r="Y231" s="82"/>
      <c r="Z231" s="82"/>
    </row>
    <row r="232" spans="1:26" s="83" customFormat="1" ht="49.5">
      <c r="A232" s="34" t="s">
        <v>24</v>
      </c>
      <c r="B232" s="42" t="s">
        <v>519</v>
      </c>
      <c r="C232" s="43" t="s">
        <v>520</v>
      </c>
      <c r="D232" s="44" t="s">
        <v>521</v>
      </c>
      <c r="E232" s="45">
        <v>1257</v>
      </c>
      <c r="F232" s="33"/>
      <c r="G232" s="33"/>
      <c r="H232" s="33">
        <v>1257</v>
      </c>
      <c r="I232" s="33">
        <v>1140</v>
      </c>
      <c r="J232" s="33">
        <v>500</v>
      </c>
      <c r="K232" s="33">
        <v>1168</v>
      </c>
      <c r="L232" s="33">
        <v>1168</v>
      </c>
      <c r="M232" s="33">
        <v>500</v>
      </c>
      <c r="N232" s="33">
        <v>500</v>
      </c>
      <c r="O232" s="82"/>
      <c r="P232" s="83">
        <v>1</v>
      </c>
      <c r="Q232" s="82"/>
      <c r="R232" s="82"/>
      <c r="S232" s="82"/>
      <c r="T232" s="82"/>
      <c r="U232" s="82"/>
      <c r="V232" s="82"/>
      <c r="W232" s="82"/>
      <c r="X232" s="82"/>
      <c r="Y232" s="82"/>
      <c r="Z232" s="82"/>
    </row>
    <row r="233" spans="1:26" s="83" customFormat="1" ht="33">
      <c r="A233" s="34" t="s">
        <v>25</v>
      </c>
      <c r="B233" s="42" t="s">
        <v>522</v>
      </c>
      <c r="C233" s="43" t="s">
        <v>523</v>
      </c>
      <c r="D233" s="44" t="s">
        <v>524</v>
      </c>
      <c r="E233" s="45">
        <v>3810</v>
      </c>
      <c r="F233" s="33"/>
      <c r="G233" s="33"/>
      <c r="H233" s="33">
        <v>3810</v>
      </c>
      <c r="I233" s="33">
        <v>3417</v>
      </c>
      <c r="J233" s="33">
        <v>1000</v>
      </c>
      <c r="K233" s="33">
        <v>3417</v>
      </c>
      <c r="L233" s="33">
        <v>3417</v>
      </c>
      <c r="M233" s="33">
        <v>1000</v>
      </c>
      <c r="N233" s="33">
        <v>1000</v>
      </c>
      <c r="O233" s="82"/>
      <c r="Q233" s="82"/>
      <c r="R233" s="82"/>
      <c r="S233" s="82"/>
      <c r="T233" s="82"/>
      <c r="U233" s="82"/>
      <c r="V233" s="82"/>
      <c r="W233" s="82"/>
      <c r="X233" s="82"/>
      <c r="Y233" s="82"/>
      <c r="Z233" s="82"/>
    </row>
    <row r="234" spans="1:26" s="210" customFormat="1" ht="33">
      <c r="A234" s="246"/>
      <c r="B234" s="22" t="s">
        <v>141</v>
      </c>
      <c r="C234" s="23"/>
      <c r="D234" s="24"/>
      <c r="E234" s="25"/>
      <c r="F234" s="25"/>
      <c r="G234" s="25"/>
      <c r="H234" s="25"/>
      <c r="I234" s="25"/>
      <c r="J234" s="25"/>
      <c r="K234" s="25"/>
      <c r="L234" s="25"/>
      <c r="M234" s="25"/>
      <c r="N234" s="25"/>
      <c r="O234" s="211"/>
      <c r="Q234" s="82"/>
      <c r="R234" s="82"/>
      <c r="S234" s="82"/>
      <c r="T234" s="82"/>
      <c r="U234" s="82"/>
      <c r="V234" s="82"/>
      <c r="W234" s="82"/>
      <c r="X234" s="82"/>
      <c r="Y234" s="82"/>
      <c r="Z234" s="82"/>
    </row>
    <row r="235" spans="1:26" s="210" customFormat="1" ht="33">
      <c r="A235" s="246"/>
      <c r="B235" s="22" t="s">
        <v>335</v>
      </c>
      <c r="C235" s="23"/>
      <c r="D235" s="24"/>
      <c r="E235" s="25">
        <f>SUM(E236:E245)</f>
        <v>14034.928</v>
      </c>
      <c r="F235" s="25">
        <f t="shared" ref="F235:O235" si="37">SUM(F236:F245)</f>
        <v>0</v>
      </c>
      <c r="G235" s="25">
        <f t="shared" si="37"/>
        <v>0</v>
      </c>
      <c r="H235" s="25">
        <f t="shared" si="37"/>
        <v>14035.7</v>
      </c>
      <c r="I235" s="25">
        <f t="shared" si="37"/>
        <v>13339</v>
      </c>
      <c r="J235" s="25">
        <f t="shared" si="37"/>
        <v>12409</v>
      </c>
      <c r="K235" s="25">
        <f t="shared" si="37"/>
        <v>13208</v>
      </c>
      <c r="L235" s="25">
        <f t="shared" si="37"/>
        <v>13208</v>
      </c>
      <c r="M235" s="25">
        <f t="shared" si="37"/>
        <v>11109</v>
      </c>
      <c r="N235" s="25">
        <f t="shared" si="37"/>
        <v>12409</v>
      </c>
      <c r="O235" s="25">
        <f t="shared" si="37"/>
        <v>0</v>
      </c>
      <c r="Q235" s="82"/>
      <c r="R235" s="82"/>
      <c r="S235" s="82"/>
      <c r="T235" s="82"/>
      <c r="U235" s="82"/>
      <c r="V235" s="82"/>
      <c r="W235" s="82"/>
      <c r="X235" s="82"/>
      <c r="Y235" s="82"/>
      <c r="Z235" s="82"/>
    </row>
    <row r="236" spans="1:26" s="83" customFormat="1" ht="66">
      <c r="A236" s="34" t="s">
        <v>21</v>
      </c>
      <c r="B236" s="75" t="s">
        <v>525</v>
      </c>
      <c r="C236" s="46" t="s">
        <v>526</v>
      </c>
      <c r="D236" s="47" t="s">
        <v>527</v>
      </c>
      <c r="E236" s="48">
        <v>2254.6999999999998</v>
      </c>
      <c r="F236" s="33"/>
      <c r="G236" s="33"/>
      <c r="H236" s="33">
        <f>E236</f>
        <v>2254.6999999999998</v>
      </c>
      <c r="I236" s="49">
        <v>2124</v>
      </c>
      <c r="J236" s="33">
        <v>900</v>
      </c>
      <c r="K236" s="33">
        <v>2131</v>
      </c>
      <c r="L236" s="33">
        <v>2131</v>
      </c>
      <c r="M236" s="33">
        <v>900</v>
      </c>
      <c r="N236" s="33">
        <v>900</v>
      </c>
      <c r="O236" s="82"/>
      <c r="P236" s="83">
        <v>1</v>
      </c>
      <c r="Q236" s="82"/>
      <c r="R236" s="82"/>
      <c r="S236" s="82"/>
      <c r="T236" s="82"/>
      <c r="U236" s="82"/>
      <c r="V236" s="82"/>
      <c r="W236" s="82"/>
      <c r="X236" s="82">
        <v>600</v>
      </c>
      <c r="Y236" s="82"/>
      <c r="Z236" s="82"/>
    </row>
    <row r="237" spans="1:26" s="83" customFormat="1" ht="33">
      <c r="A237" s="34"/>
      <c r="B237" s="75" t="s">
        <v>767</v>
      </c>
      <c r="C237" s="46"/>
      <c r="D237" s="47"/>
      <c r="E237" s="48"/>
      <c r="F237" s="33"/>
      <c r="G237" s="33"/>
      <c r="H237" s="33"/>
      <c r="I237" s="49"/>
      <c r="J237" s="33">
        <v>430</v>
      </c>
      <c r="K237" s="33"/>
      <c r="L237" s="33"/>
      <c r="M237" s="33">
        <v>430</v>
      </c>
      <c r="N237" s="33">
        <v>430</v>
      </c>
      <c r="O237" s="82"/>
      <c r="Q237" s="82"/>
      <c r="R237" s="82"/>
      <c r="S237" s="82"/>
      <c r="T237" s="82"/>
      <c r="U237" s="82"/>
      <c r="V237" s="82"/>
      <c r="W237" s="82"/>
      <c r="X237" s="82">
        <f>80+350</f>
        <v>430</v>
      </c>
      <c r="Y237" s="82"/>
      <c r="Z237" s="82"/>
    </row>
    <row r="238" spans="1:26" s="83" customFormat="1" ht="49.5">
      <c r="A238" s="34"/>
      <c r="B238" s="75" t="s">
        <v>774</v>
      </c>
      <c r="C238" s="46"/>
      <c r="D238" s="47"/>
      <c r="E238" s="48"/>
      <c r="F238" s="33"/>
      <c r="G238" s="33"/>
      <c r="H238" s="33"/>
      <c r="I238" s="49"/>
      <c r="J238" s="33">
        <v>800</v>
      </c>
      <c r="K238" s="33"/>
      <c r="L238" s="33"/>
      <c r="M238" s="33"/>
      <c r="N238" s="33">
        <v>800</v>
      </c>
      <c r="O238" s="82"/>
      <c r="Q238" s="82"/>
      <c r="R238" s="82"/>
      <c r="S238" s="82"/>
      <c r="T238" s="82"/>
      <c r="U238" s="82"/>
      <c r="V238" s="82"/>
      <c r="W238" s="82"/>
      <c r="X238" s="82">
        <v>800</v>
      </c>
      <c r="Y238" s="82"/>
      <c r="Z238" s="82"/>
    </row>
    <row r="239" spans="1:26" s="83" customFormat="1" ht="33">
      <c r="A239" s="34"/>
      <c r="B239" s="75" t="s">
        <v>775</v>
      </c>
      <c r="C239" s="46"/>
      <c r="D239" s="47"/>
      <c r="E239" s="48"/>
      <c r="F239" s="33"/>
      <c r="G239" s="33"/>
      <c r="H239" s="33"/>
      <c r="I239" s="49"/>
      <c r="J239" s="33">
        <v>500</v>
      </c>
      <c r="K239" s="33"/>
      <c r="L239" s="33"/>
      <c r="M239" s="33"/>
      <c r="N239" s="33">
        <v>500</v>
      </c>
      <c r="O239" s="82"/>
      <c r="Q239" s="82"/>
      <c r="R239" s="82"/>
      <c r="S239" s="82"/>
      <c r="T239" s="82"/>
      <c r="U239" s="82"/>
      <c r="V239" s="82"/>
      <c r="W239" s="82"/>
      <c r="X239" s="82"/>
      <c r="Y239" s="82"/>
      <c r="Z239" s="82"/>
    </row>
    <row r="240" spans="1:26" s="83" customFormat="1" ht="49.5">
      <c r="A240" s="34" t="s">
        <v>28</v>
      </c>
      <c r="B240" s="42" t="s">
        <v>528</v>
      </c>
      <c r="C240" s="50">
        <v>2017</v>
      </c>
      <c r="D240" s="44" t="s">
        <v>529</v>
      </c>
      <c r="E240" s="45">
        <v>1080.7280000000001</v>
      </c>
      <c r="F240" s="33"/>
      <c r="G240" s="33"/>
      <c r="H240" s="33">
        <v>1081</v>
      </c>
      <c r="I240" s="50">
        <v>960</v>
      </c>
      <c r="J240" s="33">
        <v>500</v>
      </c>
      <c r="K240" s="33">
        <v>960</v>
      </c>
      <c r="L240" s="33">
        <v>960</v>
      </c>
      <c r="M240" s="33">
        <v>500</v>
      </c>
      <c r="N240" s="33">
        <v>500</v>
      </c>
      <c r="O240" s="82"/>
      <c r="Q240" s="82"/>
      <c r="R240" s="82"/>
      <c r="S240" s="82"/>
      <c r="T240" s="82"/>
      <c r="U240" s="82"/>
      <c r="V240" s="82"/>
      <c r="W240" s="82"/>
      <c r="X240" s="82"/>
      <c r="Y240" s="82"/>
      <c r="Z240" s="82"/>
    </row>
    <row r="241" spans="1:26" s="83" customFormat="1" ht="49.5">
      <c r="A241" s="34" t="s">
        <v>24</v>
      </c>
      <c r="B241" s="42" t="s">
        <v>530</v>
      </c>
      <c r="C241" s="47" t="s">
        <v>531</v>
      </c>
      <c r="D241" s="47" t="s">
        <v>532</v>
      </c>
      <c r="E241" s="48">
        <v>747.5</v>
      </c>
      <c r="F241" s="33"/>
      <c r="G241" s="33"/>
      <c r="H241" s="33">
        <v>748</v>
      </c>
      <c r="I241" s="33">
        <v>670</v>
      </c>
      <c r="J241" s="33">
        <v>500</v>
      </c>
      <c r="K241" s="33">
        <v>690</v>
      </c>
      <c r="L241" s="33">
        <v>690</v>
      </c>
      <c r="M241" s="33">
        <v>500</v>
      </c>
      <c r="N241" s="33">
        <v>500</v>
      </c>
      <c r="O241" s="82"/>
      <c r="P241" s="83">
        <v>1</v>
      </c>
      <c r="Q241" s="82"/>
      <c r="R241" s="82"/>
      <c r="S241" s="82"/>
      <c r="T241" s="82"/>
      <c r="U241" s="82"/>
      <c r="V241" s="82"/>
      <c r="W241" s="82"/>
      <c r="X241" s="82"/>
      <c r="Y241" s="82"/>
      <c r="Z241" s="82"/>
    </row>
    <row r="242" spans="1:26" s="83" customFormat="1" ht="66">
      <c r="A242" s="34" t="s">
        <v>25</v>
      </c>
      <c r="B242" s="58" t="s">
        <v>804</v>
      </c>
      <c r="C242" s="46" t="s">
        <v>533</v>
      </c>
      <c r="D242" s="46" t="s">
        <v>534</v>
      </c>
      <c r="E242" s="54">
        <v>5609</v>
      </c>
      <c r="F242" s="33"/>
      <c r="G242" s="33"/>
      <c r="H242" s="33">
        <v>5609</v>
      </c>
      <c r="I242" s="33">
        <v>5529</v>
      </c>
      <c r="J242" s="33">
        <v>5229</v>
      </c>
      <c r="K242" s="33">
        <v>5306</v>
      </c>
      <c r="L242" s="33">
        <v>5306</v>
      </c>
      <c r="M242" s="33">
        <v>5229</v>
      </c>
      <c r="N242" s="33">
        <v>5229</v>
      </c>
      <c r="O242" s="82"/>
      <c r="Q242" s="82"/>
      <c r="R242" s="82"/>
      <c r="S242" s="82"/>
      <c r="T242" s="82"/>
      <c r="U242" s="82"/>
      <c r="V242" s="82"/>
      <c r="W242" s="82">
        <v>1500</v>
      </c>
      <c r="X242" s="82">
        <v>1500</v>
      </c>
      <c r="Y242" s="82"/>
      <c r="Z242" s="82"/>
    </row>
    <row r="243" spans="1:26" s="83" customFormat="1" ht="66">
      <c r="A243" s="34" t="s">
        <v>26</v>
      </c>
      <c r="B243" s="58" t="s">
        <v>535</v>
      </c>
      <c r="C243" s="46" t="s">
        <v>533</v>
      </c>
      <c r="D243" s="46" t="s">
        <v>536</v>
      </c>
      <c r="E243" s="54">
        <v>2298</v>
      </c>
      <c r="F243" s="33"/>
      <c r="G243" s="33"/>
      <c r="H243" s="33">
        <v>2298</v>
      </c>
      <c r="I243" s="33">
        <v>2011</v>
      </c>
      <c r="J243" s="33">
        <v>2000</v>
      </c>
      <c r="K243" s="33">
        <v>2076</v>
      </c>
      <c r="L243" s="33">
        <v>2076</v>
      </c>
      <c r="M243" s="33">
        <v>2000</v>
      </c>
      <c r="N243" s="33">
        <v>2000</v>
      </c>
      <c r="O243" s="82"/>
      <c r="Q243" s="82"/>
      <c r="R243" s="82"/>
      <c r="S243" s="82"/>
      <c r="T243" s="82"/>
      <c r="U243" s="82"/>
      <c r="V243" s="82"/>
      <c r="W243" s="82"/>
      <c r="X243" s="82"/>
      <c r="Y243" s="82"/>
      <c r="Z243" s="82"/>
    </row>
    <row r="244" spans="1:26" s="83" customFormat="1" ht="66">
      <c r="A244" s="34" t="s">
        <v>27</v>
      </c>
      <c r="B244" s="58" t="s">
        <v>537</v>
      </c>
      <c r="C244" s="46" t="s">
        <v>538</v>
      </c>
      <c r="D244" s="46" t="s">
        <v>539</v>
      </c>
      <c r="E244" s="54">
        <v>1034</v>
      </c>
      <c r="F244" s="33"/>
      <c r="G244" s="33"/>
      <c r="H244" s="33">
        <v>1034</v>
      </c>
      <c r="I244" s="33">
        <v>1034</v>
      </c>
      <c r="J244" s="33">
        <v>850</v>
      </c>
      <c r="K244" s="33">
        <v>1034</v>
      </c>
      <c r="L244" s="33">
        <v>1034</v>
      </c>
      <c r="M244" s="33">
        <v>850</v>
      </c>
      <c r="N244" s="33">
        <v>850</v>
      </c>
      <c r="O244" s="82"/>
      <c r="Q244" s="82"/>
      <c r="R244" s="82"/>
      <c r="S244" s="82"/>
      <c r="T244" s="82"/>
      <c r="U244" s="82"/>
      <c r="V244" s="82"/>
      <c r="W244" s="82"/>
      <c r="X244" s="82"/>
      <c r="Y244" s="82"/>
      <c r="Z244" s="82"/>
    </row>
    <row r="245" spans="1:26" s="83" customFormat="1" ht="66">
      <c r="A245" s="34" t="s">
        <v>47</v>
      </c>
      <c r="B245" s="58" t="s">
        <v>540</v>
      </c>
      <c r="C245" s="46" t="s">
        <v>541</v>
      </c>
      <c r="D245" s="46" t="s">
        <v>542</v>
      </c>
      <c r="E245" s="54">
        <v>1011</v>
      </c>
      <c r="F245" s="33"/>
      <c r="G245" s="33"/>
      <c r="H245" s="33">
        <v>1011</v>
      </c>
      <c r="I245" s="33">
        <v>1011</v>
      </c>
      <c r="J245" s="33">
        <v>700</v>
      </c>
      <c r="K245" s="33">
        <v>1011</v>
      </c>
      <c r="L245" s="33">
        <v>1011</v>
      </c>
      <c r="M245" s="33">
        <v>700</v>
      </c>
      <c r="N245" s="33">
        <v>700</v>
      </c>
      <c r="O245" s="82"/>
      <c r="Q245" s="82"/>
      <c r="R245" s="82"/>
      <c r="S245" s="82"/>
      <c r="T245" s="82"/>
      <c r="U245" s="82"/>
      <c r="V245" s="82"/>
      <c r="W245" s="82"/>
      <c r="X245" s="82"/>
      <c r="Y245" s="82"/>
      <c r="Z245" s="82"/>
    </row>
    <row r="246" spans="1:26" s="210" customFormat="1" ht="16.5">
      <c r="A246" s="246" t="s">
        <v>617</v>
      </c>
      <c r="B246" s="22" t="s">
        <v>607</v>
      </c>
      <c r="C246" s="51"/>
      <c r="D246" s="51"/>
      <c r="E246" s="56">
        <f>E247+E255</f>
        <v>43223.661999999989</v>
      </c>
      <c r="F246" s="56">
        <f t="shared" ref="F246:N246" si="38">F247+F255</f>
        <v>0</v>
      </c>
      <c r="G246" s="56">
        <f t="shared" si="38"/>
        <v>15708.091000000002</v>
      </c>
      <c r="H246" s="56">
        <f t="shared" si="38"/>
        <v>0</v>
      </c>
      <c r="I246" s="56">
        <f t="shared" si="38"/>
        <v>37102.149000000005</v>
      </c>
      <c r="J246" s="56">
        <f t="shared" si="38"/>
        <v>14948.091000000002</v>
      </c>
      <c r="K246" s="56">
        <f t="shared" si="38"/>
        <v>37658.212</v>
      </c>
      <c r="L246" s="56">
        <f t="shared" si="38"/>
        <v>37102.149000000005</v>
      </c>
      <c r="M246" s="56">
        <f t="shared" si="38"/>
        <v>14768.091000000002</v>
      </c>
      <c r="N246" s="56">
        <f t="shared" si="38"/>
        <v>14948.091000000002</v>
      </c>
      <c r="O246" s="238"/>
      <c r="Q246" s="82"/>
      <c r="R246" s="82"/>
      <c r="S246" s="82"/>
      <c r="T246" s="82"/>
      <c r="U246" s="82"/>
      <c r="V246" s="82"/>
      <c r="W246" s="82"/>
      <c r="X246" s="82"/>
      <c r="Y246" s="82"/>
      <c r="Z246" s="82"/>
    </row>
    <row r="247" spans="1:26" s="210" customFormat="1" ht="49.5">
      <c r="A247" s="246"/>
      <c r="B247" s="22" t="s">
        <v>379</v>
      </c>
      <c r="C247" s="51"/>
      <c r="D247" s="51"/>
      <c r="E247" s="51">
        <f>SUM(E248:E253)</f>
        <v>6839.9179999999997</v>
      </c>
      <c r="F247" s="52">
        <f t="shared" ref="F247:N247" si="39">SUM(F248:F253)</f>
        <v>0</v>
      </c>
      <c r="G247" s="52">
        <f t="shared" si="39"/>
        <v>1186</v>
      </c>
      <c r="H247" s="52">
        <f t="shared" si="39"/>
        <v>0</v>
      </c>
      <c r="I247" s="52">
        <f t="shared" si="39"/>
        <v>6124.4560000000001</v>
      </c>
      <c r="J247" s="52">
        <f t="shared" si="39"/>
        <v>1186</v>
      </c>
      <c r="K247" s="52">
        <f t="shared" si="39"/>
        <v>6124.4560000000001</v>
      </c>
      <c r="L247" s="52">
        <f t="shared" si="39"/>
        <v>6124.4560000000001</v>
      </c>
      <c r="M247" s="52">
        <f t="shared" si="39"/>
        <v>1006</v>
      </c>
      <c r="N247" s="52">
        <f t="shared" si="39"/>
        <v>1186</v>
      </c>
      <c r="O247" s="238"/>
      <c r="Q247" s="82"/>
      <c r="R247" s="82"/>
      <c r="S247" s="82"/>
      <c r="T247" s="82"/>
      <c r="U247" s="82"/>
      <c r="V247" s="82"/>
      <c r="W247" s="82"/>
      <c r="X247" s="82"/>
      <c r="Y247" s="82"/>
      <c r="Z247" s="82"/>
    </row>
    <row r="248" spans="1:26" s="210" customFormat="1" ht="49.5">
      <c r="A248" s="34" t="s">
        <v>21</v>
      </c>
      <c r="B248" s="42" t="s">
        <v>544</v>
      </c>
      <c r="C248" s="53" t="s">
        <v>545</v>
      </c>
      <c r="D248" s="53" t="s">
        <v>546</v>
      </c>
      <c r="E248" s="53">
        <v>532</v>
      </c>
      <c r="F248" s="54"/>
      <c r="G248" s="54">
        <v>100</v>
      </c>
      <c r="H248" s="54"/>
      <c r="I248" s="54">
        <v>460</v>
      </c>
      <c r="J248" s="54">
        <v>100</v>
      </c>
      <c r="K248" s="54">
        <v>460</v>
      </c>
      <c r="L248" s="54">
        <f t="shared" ref="L248:L253" si="40">K248</f>
        <v>460</v>
      </c>
      <c r="M248" s="54">
        <f>G248</f>
        <v>100</v>
      </c>
      <c r="N248" s="54">
        <f t="shared" ref="N248:N253" si="41">G248</f>
        <v>100</v>
      </c>
      <c r="O248" s="238"/>
      <c r="P248" s="210">
        <v>1</v>
      </c>
      <c r="Q248" s="82"/>
      <c r="R248" s="82"/>
      <c r="S248" s="82"/>
      <c r="T248" s="82"/>
      <c r="U248" s="82"/>
      <c r="V248" s="82"/>
      <c r="W248" s="82"/>
      <c r="X248" s="82"/>
      <c r="Y248" s="82"/>
      <c r="Z248" s="82"/>
    </row>
    <row r="249" spans="1:26" s="210" customFormat="1" ht="33">
      <c r="A249" s="34" t="s">
        <v>28</v>
      </c>
      <c r="B249" s="42" t="s">
        <v>547</v>
      </c>
      <c r="C249" s="53" t="s">
        <v>548</v>
      </c>
      <c r="D249" s="53" t="s">
        <v>549</v>
      </c>
      <c r="E249" s="53">
        <v>1235</v>
      </c>
      <c r="F249" s="54"/>
      <c r="G249" s="54">
        <v>406</v>
      </c>
      <c r="H249" s="54"/>
      <c r="I249" s="54">
        <v>1064.873</v>
      </c>
      <c r="J249" s="54">
        <v>406</v>
      </c>
      <c r="K249" s="54">
        <v>1064.873</v>
      </c>
      <c r="L249" s="54">
        <f t="shared" si="40"/>
        <v>1064.873</v>
      </c>
      <c r="M249" s="54">
        <f>G249</f>
        <v>406</v>
      </c>
      <c r="N249" s="54">
        <f t="shared" si="41"/>
        <v>406</v>
      </c>
      <c r="O249" s="238"/>
      <c r="P249" s="210">
        <v>1</v>
      </c>
      <c r="Q249" s="82"/>
      <c r="R249" s="82"/>
      <c r="S249" s="82"/>
      <c r="T249" s="82"/>
      <c r="U249" s="82"/>
      <c r="V249" s="82"/>
      <c r="W249" s="82"/>
      <c r="X249" s="82"/>
      <c r="Y249" s="82"/>
      <c r="Z249" s="82"/>
    </row>
    <row r="250" spans="1:26" s="210" customFormat="1" ht="33">
      <c r="A250" s="34" t="s">
        <v>24</v>
      </c>
      <c r="B250" s="42" t="s">
        <v>550</v>
      </c>
      <c r="C250" s="53" t="s">
        <v>551</v>
      </c>
      <c r="D250" s="53" t="s">
        <v>552</v>
      </c>
      <c r="E250" s="53">
        <v>883.54</v>
      </c>
      <c r="F250" s="54"/>
      <c r="G250" s="54">
        <v>400</v>
      </c>
      <c r="H250" s="54"/>
      <c r="I250" s="54">
        <v>792.05399999999997</v>
      </c>
      <c r="J250" s="54">
        <v>400</v>
      </c>
      <c r="K250" s="54">
        <v>792.05399999999997</v>
      </c>
      <c r="L250" s="54">
        <f t="shared" si="40"/>
        <v>792.05399999999997</v>
      </c>
      <c r="M250" s="54">
        <f>G250</f>
        <v>400</v>
      </c>
      <c r="N250" s="54">
        <f t="shared" si="41"/>
        <v>400</v>
      </c>
      <c r="O250" s="238"/>
      <c r="Q250" s="82"/>
      <c r="R250" s="82"/>
      <c r="S250" s="82"/>
      <c r="T250" s="82"/>
      <c r="U250" s="82"/>
      <c r="V250" s="82"/>
      <c r="W250" s="82"/>
      <c r="X250" s="82"/>
      <c r="Y250" s="82"/>
      <c r="Z250" s="82"/>
    </row>
    <row r="251" spans="1:26" s="210" customFormat="1" ht="33">
      <c r="A251" s="34" t="s">
        <v>25</v>
      </c>
      <c r="B251" s="42" t="s">
        <v>553</v>
      </c>
      <c r="C251" s="53" t="s">
        <v>554</v>
      </c>
      <c r="D251" s="53" t="s">
        <v>555</v>
      </c>
      <c r="E251" s="53">
        <v>717.83399999999995</v>
      </c>
      <c r="F251" s="54"/>
      <c r="G251" s="54">
        <v>100</v>
      </c>
      <c r="H251" s="54"/>
      <c r="I251" s="54">
        <v>647.45600000000002</v>
      </c>
      <c r="J251" s="54">
        <v>100</v>
      </c>
      <c r="K251" s="54">
        <v>647.45600000000002</v>
      </c>
      <c r="L251" s="54">
        <f t="shared" si="40"/>
        <v>647.45600000000002</v>
      </c>
      <c r="M251" s="54">
        <f>G251</f>
        <v>100</v>
      </c>
      <c r="N251" s="54">
        <f t="shared" si="41"/>
        <v>100</v>
      </c>
      <c r="O251" s="238"/>
      <c r="Q251" s="82"/>
      <c r="R251" s="82"/>
      <c r="S251" s="82"/>
      <c r="T251" s="82"/>
      <c r="U251" s="82"/>
      <c r="V251" s="82"/>
      <c r="W251" s="82"/>
      <c r="X251" s="82">
        <v>90</v>
      </c>
      <c r="Y251" s="82"/>
      <c r="Z251" s="82"/>
    </row>
    <row r="252" spans="1:26" s="210" customFormat="1" ht="33">
      <c r="A252" s="34" t="s">
        <v>26</v>
      </c>
      <c r="B252" s="42" t="s">
        <v>556</v>
      </c>
      <c r="C252" s="53" t="s">
        <v>557</v>
      </c>
      <c r="D252" s="53" t="s">
        <v>558</v>
      </c>
      <c r="E252" s="53">
        <v>1105.347</v>
      </c>
      <c r="F252" s="54"/>
      <c r="G252" s="54">
        <v>60</v>
      </c>
      <c r="H252" s="54"/>
      <c r="I252" s="54">
        <v>984.69100000000003</v>
      </c>
      <c r="J252" s="54">
        <v>60</v>
      </c>
      <c r="K252" s="54">
        <v>984.69100000000003</v>
      </c>
      <c r="L252" s="54">
        <f t="shared" si="40"/>
        <v>984.69100000000003</v>
      </c>
      <c r="M252" s="54"/>
      <c r="N252" s="54">
        <f t="shared" si="41"/>
        <v>60</v>
      </c>
      <c r="O252" s="238"/>
      <c r="Q252" s="82"/>
      <c r="R252" s="82"/>
      <c r="S252" s="82"/>
      <c r="T252" s="82"/>
      <c r="U252" s="82"/>
      <c r="V252" s="82"/>
      <c r="W252" s="82"/>
      <c r="X252" s="82"/>
      <c r="Y252" s="82"/>
      <c r="Z252" s="82"/>
    </row>
    <row r="253" spans="1:26" s="210" customFormat="1" ht="33">
      <c r="A253" s="34" t="s">
        <v>27</v>
      </c>
      <c r="B253" s="42" t="s">
        <v>559</v>
      </c>
      <c r="C253" s="53" t="s">
        <v>560</v>
      </c>
      <c r="D253" s="53" t="s">
        <v>561</v>
      </c>
      <c r="E253" s="53">
        <v>2366.1970000000001</v>
      </c>
      <c r="F253" s="54"/>
      <c r="G253" s="54">
        <v>120</v>
      </c>
      <c r="H253" s="54"/>
      <c r="I253" s="54">
        <v>2175.3820000000001</v>
      </c>
      <c r="J253" s="54">
        <v>120</v>
      </c>
      <c r="K253" s="54">
        <v>2175.3820000000001</v>
      </c>
      <c r="L253" s="54">
        <f t="shared" si="40"/>
        <v>2175.3820000000001</v>
      </c>
      <c r="M253" s="54"/>
      <c r="N253" s="54">
        <f t="shared" si="41"/>
        <v>120</v>
      </c>
      <c r="O253" s="238"/>
      <c r="P253" s="210">
        <v>1</v>
      </c>
      <c r="Q253" s="82"/>
      <c r="R253" s="82"/>
      <c r="S253" s="82"/>
      <c r="T253" s="82"/>
      <c r="U253" s="82"/>
      <c r="V253" s="82"/>
      <c r="W253" s="82"/>
      <c r="X253" s="82">
        <v>10</v>
      </c>
      <c r="Y253" s="82"/>
      <c r="Z253" s="82"/>
    </row>
    <row r="254" spans="1:26" s="210" customFormat="1" ht="33">
      <c r="A254" s="246"/>
      <c r="B254" s="22" t="s">
        <v>562</v>
      </c>
      <c r="C254" s="51"/>
      <c r="D254" s="51"/>
      <c r="E254" s="51"/>
      <c r="F254" s="52"/>
      <c r="G254" s="52"/>
      <c r="H254" s="52"/>
      <c r="I254" s="52"/>
      <c r="J254" s="52"/>
      <c r="K254" s="52"/>
      <c r="L254" s="52"/>
      <c r="M254" s="52"/>
      <c r="N254" s="52"/>
      <c r="O254" s="238"/>
      <c r="Q254" s="82"/>
      <c r="R254" s="82"/>
      <c r="S254" s="82"/>
      <c r="T254" s="82"/>
      <c r="U254" s="82"/>
      <c r="V254" s="82"/>
      <c r="W254" s="82"/>
      <c r="X254" s="82"/>
      <c r="Y254" s="82"/>
      <c r="Z254" s="82"/>
    </row>
    <row r="255" spans="1:26" s="210" customFormat="1" ht="33">
      <c r="A255" s="246"/>
      <c r="B255" s="22" t="s">
        <v>335</v>
      </c>
      <c r="C255" s="51"/>
      <c r="D255" s="51"/>
      <c r="E255" s="51">
        <f>SUM(E256:E270)</f>
        <v>36383.743999999992</v>
      </c>
      <c r="F255" s="52">
        <f t="shared" ref="F255:N255" si="42">SUM(F256:F270)</f>
        <v>0</v>
      </c>
      <c r="G255" s="52">
        <f t="shared" si="42"/>
        <v>14522.091000000002</v>
      </c>
      <c r="H255" s="52">
        <f t="shared" si="42"/>
        <v>0</v>
      </c>
      <c r="I255" s="52">
        <f t="shared" si="42"/>
        <v>30977.693000000003</v>
      </c>
      <c r="J255" s="52">
        <f t="shared" si="42"/>
        <v>13762.091000000002</v>
      </c>
      <c r="K255" s="52">
        <f t="shared" si="42"/>
        <v>31533.755999999998</v>
      </c>
      <c r="L255" s="52">
        <f t="shared" si="42"/>
        <v>30977.693000000003</v>
      </c>
      <c r="M255" s="52">
        <f t="shared" si="42"/>
        <v>13762.091000000002</v>
      </c>
      <c r="N255" s="52">
        <f t="shared" si="42"/>
        <v>13762.091000000002</v>
      </c>
      <c r="O255" s="238"/>
      <c r="Q255" s="82"/>
      <c r="R255" s="82"/>
      <c r="S255" s="82"/>
      <c r="T255" s="82"/>
      <c r="U255" s="82"/>
      <c r="V255" s="82"/>
      <c r="W255" s="82"/>
      <c r="X255" s="82"/>
      <c r="Y255" s="82"/>
      <c r="Z255" s="82"/>
    </row>
    <row r="256" spans="1:26" s="210" customFormat="1" ht="33">
      <c r="A256" s="34" t="s">
        <v>21</v>
      </c>
      <c r="B256" s="42" t="s">
        <v>563</v>
      </c>
      <c r="C256" s="53" t="s">
        <v>564</v>
      </c>
      <c r="D256" s="53" t="s">
        <v>565</v>
      </c>
      <c r="E256" s="53">
        <v>2441</v>
      </c>
      <c r="F256" s="54"/>
      <c r="G256" s="54">
        <f>800+400+110</f>
        <v>1310</v>
      </c>
      <c r="H256" s="54"/>
      <c r="I256" s="54">
        <v>2196.9470000000001</v>
      </c>
      <c r="J256" s="54">
        <v>1310</v>
      </c>
      <c r="K256" s="54">
        <v>2196.9470000000001</v>
      </c>
      <c r="L256" s="54">
        <f>K256</f>
        <v>2196.9470000000001</v>
      </c>
      <c r="M256" s="54">
        <f>G256</f>
        <v>1310</v>
      </c>
      <c r="N256" s="54">
        <f>G256</f>
        <v>1310</v>
      </c>
      <c r="O256" s="238"/>
      <c r="P256" s="210">
        <v>1</v>
      </c>
      <c r="Q256" s="82"/>
      <c r="R256" s="82"/>
      <c r="S256" s="82"/>
      <c r="T256" s="82"/>
      <c r="U256" s="82"/>
      <c r="V256" s="82"/>
      <c r="W256" s="82"/>
      <c r="X256" s="82">
        <v>80</v>
      </c>
      <c r="Y256" s="82"/>
      <c r="Z256" s="82"/>
    </row>
    <row r="257" spans="1:257" s="210" customFormat="1" ht="49.5">
      <c r="A257" s="34" t="s">
        <v>28</v>
      </c>
      <c r="B257" s="42" t="s">
        <v>566</v>
      </c>
      <c r="C257" s="53" t="s">
        <v>567</v>
      </c>
      <c r="D257" s="53" t="s">
        <v>568</v>
      </c>
      <c r="E257" s="53">
        <v>2415.1529999999998</v>
      </c>
      <c r="F257" s="54"/>
      <c r="G257" s="54">
        <v>1932.0909999999999</v>
      </c>
      <c r="H257" s="54"/>
      <c r="I257" s="54">
        <v>1932.0909999999999</v>
      </c>
      <c r="J257" s="54">
        <v>1932.0909999999999</v>
      </c>
      <c r="K257" s="54">
        <v>2367.7959999999998</v>
      </c>
      <c r="L257" s="54">
        <f>G257</f>
        <v>1932.0909999999999</v>
      </c>
      <c r="M257" s="54">
        <f>G257</f>
        <v>1932.0909999999999</v>
      </c>
      <c r="N257" s="54">
        <f>M257</f>
        <v>1932.0909999999999</v>
      </c>
      <c r="O257" s="238"/>
      <c r="Q257" s="82"/>
      <c r="R257" s="82"/>
      <c r="S257" s="82"/>
      <c r="T257" s="82"/>
      <c r="U257" s="82"/>
      <c r="V257" s="82"/>
      <c r="W257" s="82"/>
      <c r="X257" s="82"/>
      <c r="Y257" s="82"/>
      <c r="Z257" s="82"/>
    </row>
    <row r="258" spans="1:257" s="210" customFormat="1" ht="33">
      <c r="A258" s="34" t="s">
        <v>24</v>
      </c>
      <c r="B258" s="42" t="s">
        <v>569</v>
      </c>
      <c r="C258" s="53" t="s">
        <v>570</v>
      </c>
      <c r="D258" s="53" t="s">
        <v>571</v>
      </c>
      <c r="E258" s="53">
        <v>3646.502</v>
      </c>
      <c r="F258" s="54"/>
      <c r="G258" s="54">
        <f>87.673+71.622</f>
        <v>159.29500000000002</v>
      </c>
      <c r="H258" s="54"/>
      <c r="I258" s="54">
        <v>3282.0549999999998</v>
      </c>
      <c r="J258" s="54">
        <v>159.29500000000002</v>
      </c>
      <c r="K258" s="54">
        <v>3402.4129999999996</v>
      </c>
      <c r="L258" s="54">
        <f>3082.055+200</f>
        <v>3282.0549999999998</v>
      </c>
      <c r="M258" s="54">
        <f>G258</f>
        <v>159.29500000000002</v>
      </c>
      <c r="N258" s="54">
        <f>G258</f>
        <v>159.29500000000002</v>
      </c>
      <c r="O258" s="238"/>
      <c r="P258" s="210">
        <v>1</v>
      </c>
      <c r="Q258" s="82"/>
      <c r="R258" s="82"/>
      <c r="S258" s="82"/>
      <c r="T258" s="82"/>
      <c r="U258" s="82"/>
      <c r="V258" s="82"/>
      <c r="W258" s="82"/>
      <c r="X258" s="82"/>
      <c r="Y258" s="82"/>
      <c r="Z258" s="82"/>
    </row>
    <row r="259" spans="1:257" s="210" customFormat="1" ht="66">
      <c r="A259" s="34" t="s">
        <v>25</v>
      </c>
      <c r="B259" s="58" t="s">
        <v>572</v>
      </c>
      <c r="C259" s="53" t="s">
        <v>573</v>
      </c>
      <c r="D259" s="53" t="s">
        <v>574</v>
      </c>
      <c r="E259" s="53">
        <v>3446.6080000000002</v>
      </c>
      <c r="F259" s="54"/>
      <c r="G259" s="54">
        <v>1007.343</v>
      </c>
      <c r="H259" s="54"/>
      <c r="I259" s="54">
        <v>3251.8839999999996</v>
      </c>
      <c r="J259" s="54">
        <v>1007.343</v>
      </c>
      <c r="K259" s="54">
        <v>3251.8839999999996</v>
      </c>
      <c r="L259" s="54">
        <f>K259</f>
        <v>3251.8839999999996</v>
      </c>
      <c r="M259" s="54">
        <f t="shared" ref="M259:M266" si="43">G259</f>
        <v>1007.343</v>
      </c>
      <c r="N259" s="54">
        <f t="shared" ref="N259:N266" si="44">G259</f>
        <v>1007.343</v>
      </c>
      <c r="O259" s="211"/>
      <c r="Q259" s="82"/>
      <c r="R259" s="82"/>
      <c r="S259" s="82"/>
      <c r="T259" s="82"/>
      <c r="U259" s="82"/>
      <c r="V259" s="82"/>
      <c r="W259" s="82"/>
      <c r="X259" s="82"/>
      <c r="Y259" s="82"/>
      <c r="Z259" s="82"/>
    </row>
    <row r="260" spans="1:257" s="210" customFormat="1" ht="49.5">
      <c r="A260" s="34" t="s">
        <v>26</v>
      </c>
      <c r="B260" s="42" t="s">
        <v>575</v>
      </c>
      <c r="C260" s="53" t="s">
        <v>576</v>
      </c>
      <c r="D260" s="53" t="s">
        <v>577</v>
      </c>
      <c r="E260" s="53">
        <v>2359.5940000000001</v>
      </c>
      <c r="F260" s="54"/>
      <c r="G260" s="54">
        <v>1162.2850000000001</v>
      </c>
      <c r="H260" s="54"/>
      <c r="I260" s="54">
        <v>2229.373</v>
      </c>
      <c r="J260" s="54">
        <v>1162.2850000000001</v>
      </c>
      <c r="K260" s="54">
        <v>2229.373</v>
      </c>
      <c r="L260" s="54">
        <f t="shared" ref="L260:L270" si="45">K260</f>
        <v>2229.373</v>
      </c>
      <c r="M260" s="54">
        <f t="shared" si="43"/>
        <v>1162.2850000000001</v>
      </c>
      <c r="N260" s="54">
        <f t="shared" si="44"/>
        <v>1162.2850000000001</v>
      </c>
      <c r="O260" s="238"/>
      <c r="P260" s="210">
        <v>1</v>
      </c>
      <c r="Q260" s="82"/>
      <c r="R260" s="82"/>
      <c r="S260" s="82"/>
      <c r="T260" s="82"/>
      <c r="U260" s="82"/>
      <c r="V260" s="82"/>
      <c r="W260" s="82"/>
      <c r="X260" s="82"/>
      <c r="Y260" s="82"/>
      <c r="Z260" s="82"/>
    </row>
    <row r="261" spans="1:257" s="210" customFormat="1" ht="49.5">
      <c r="A261" s="34" t="s">
        <v>27</v>
      </c>
      <c r="B261" s="58" t="s">
        <v>578</v>
      </c>
      <c r="C261" s="53" t="s">
        <v>576</v>
      </c>
      <c r="D261" s="53" t="s">
        <v>579</v>
      </c>
      <c r="E261" s="53">
        <v>2262.1590000000001</v>
      </c>
      <c r="F261" s="54"/>
      <c r="G261" s="54">
        <v>1470.069</v>
      </c>
      <c r="H261" s="54"/>
      <c r="I261" s="54">
        <v>2140.105</v>
      </c>
      <c r="J261" s="54">
        <v>1470.069</v>
      </c>
      <c r="K261" s="54">
        <v>2140.105</v>
      </c>
      <c r="L261" s="54">
        <f t="shared" si="45"/>
        <v>2140.105</v>
      </c>
      <c r="M261" s="54">
        <f t="shared" si="43"/>
        <v>1470.069</v>
      </c>
      <c r="N261" s="54">
        <f t="shared" si="44"/>
        <v>1470.069</v>
      </c>
      <c r="O261" s="211"/>
      <c r="P261" s="210">
        <v>1</v>
      </c>
      <c r="Q261" s="82"/>
      <c r="R261" s="82"/>
      <c r="S261" s="82"/>
      <c r="T261" s="82"/>
      <c r="U261" s="82"/>
      <c r="V261" s="82"/>
      <c r="W261" s="82"/>
      <c r="X261" s="82"/>
      <c r="Y261" s="82"/>
      <c r="Z261" s="82"/>
    </row>
    <row r="262" spans="1:257" s="210" customFormat="1" ht="33">
      <c r="A262" s="34" t="s">
        <v>47</v>
      </c>
      <c r="B262" s="58" t="s">
        <v>580</v>
      </c>
      <c r="C262" s="53" t="s">
        <v>581</v>
      </c>
      <c r="D262" s="53" t="s">
        <v>582</v>
      </c>
      <c r="E262" s="53">
        <v>4552.8370000000004</v>
      </c>
      <c r="F262" s="54"/>
      <c r="G262" s="54">
        <f>213.201+2141.365</f>
        <v>2354.5659999999998</v>
      </c>
      <c r="H262" s="54"/>
      <c r="I262" s="54">
        <v>4430</v>
      </c>
      <c r="J262" s="54">
        <v>2354.5659999999998</v>
      </c>
      <c r="K262" s="54">
        <v>4430</v>
      </c>
      <c r="L262" s="54">
        <f t="shared" si="45"/>
        <v>4430</v>
      </c>
      <c r="M262" s="54">
        <f t="shared" si="43"/>
        <v>2354.5659999999998</v>
      </c>
      <c r="N262" s="54">
        <f t="shared" si="44"/>
        <v>2354.5659999999998</v>
      </c>
      <c r="O262" s="211"/>
      <c r="P262" s="210">
        <v>1</v>
      </c>
      <c r="Q262" s="82"/>
      <c r="R262" s="82"/>
      <c r="S262" s="82"/>
      <c r="T262" s="82"/>
      <c r="U262" s="82"/>
      <c r="V262" s="82"/>
      <c r="W262" s="82"/>
      <c r="X262" s="82"/>
      <c r="Y262" s="82"/>
      <c r="Z262" s="82"/>
    </row>
    <row r="263" spans="1:257" s="210" customFormat="1" ht="33">
      <c r="A263" s="34" t="s">
        <v>49</v>
      </c>
      <c r="B263" s="58" t="s">
        <v>583</v>
      </c>
      <c r="C263" s="53" t="s">
        <v>584</v>
      </c>
      <c r="D263" s="53" t="s">
        <v>585</v>
      </c>
      <c r="E263" s="53">
        <v>924.06299999999999</v>
      </c>
      <c r="F263" s="54"/>
      <c r="G263" s="54">
        <f>370+22.271</f>
        <v>392.27100000000002</v>
      </c>
      <c r="H263" s="54"/>
      <c r="I263" s="54">
        <v>850</v>
      </c>
      <c r="J263" s="54">
        <v>392.27100000000002</v>
      </c>
      <c r="K263" s="54">
        <v>850</v>
      </c>
      <c r="L263" s="54">
        <f t="shared" si="45"/>
        <v>850</v>
      </c>
      <c r="M263" s="54">
        <f t="shared" si="43"/>
        <v>392.27100000000002</v>
      </c>
      <c r="N263" s="54">
        <f t="shared" si="44"/>
        <v>392.27100000000002</v>
      </c>
      <c r="O263" s="211"/>
      <c r="Q263" s="82"/>
      <c r="R263" s="82"/>
      <c r="S263" s="82"/>
      <c r="T263" s="82"/>
      <c r="U263" s="82"/>
      <c r="V263" s="82"/>
      <c r="W263" s="82"/>
      <c r="X263" s="82"/>
      <c r="Y263" s="82"/>
      <c r="Z263" s="82"/>
    </row>
    <row r="264" spans="1:257" s="210" customFormat="1" ht="66">
      <c r="A264" s="34" t="s">
        <v>50</v>
      </c>
      <c r="B264" s="58" t="s">
        <v>586</v>
      </c>
      <c r="C264" s="53" t="s">
        <v>587</v>
      </c>
      <c r="D264" s="53" t="s">
        <v>588</v>
      </c>
      <c r="E264" s="53">
        <v>621.30100000000004</v>
      </c>
      <c r="F264" s="54"/>
      <c r="G264" s="54">
        <v>15.78</v>
      </c>
      <c r="H264" s="54"/>
      <c r="I264" s="54">
        <v>546.93499999999995</v>
      </c>
      <c r="J264" s="54">
        <v>15.78</v>
      </c>
      <c r="K264" s="54">
        <v>546.93499999999995</v>
      </c>
      <c r="L264" s="54">
        <f t="shared" si="45"/>
        <v>546.93499999999995</v>
      </c>
      <c r="M264" s="54">
        <f t="shared" si="43"/>
        <v>15.78</v>
      </c>
      <c r="N264" s="54">
        <f t="shared" si="44"/>
        <v>15.78</v>
      </c>
      <c r="O264" s="211"/>
      <c r="Q264" s="82"/>
      <c r="R264" s="82"/>
      <c r="S264" s="82"/>
      <c r="T264" s="82"/>
      <c r="U264" s="82"/>
      <c r="V264" s="82"/>
      <c r="W264" s="82"/>
      <c r="X264" s="82"/>
      <c r="Y264" s="82"/>
      <c r="Z264" s="82"/>
    </row>
    <row r="265" spans="1:257" s="210" customFormat="1" ht="49.5">
      <c r="A265" s="34" t="s">
        <v>51</v>
      </c>
      <c r="B265" s="58" t="s">
        <v>589</v>
      </c>
      <c r="C265" s="53" t="s">
        <v>590</v>
      </c>
      <c r="D265" s="53" t="s">
        <v>591</v>
      </c>
      <c r="E265" s="53">
        <v>2979.076</v>
      </c>
      <c r="F265" s="54"/>
      <c r="G265" s="54">
        <v>1008.391</v>
      </c>
      <c r="H265" s="55"/>
      <c r="I265" s="54">
        <v>2850</v>
      </c>
      <c r="J265" s="54">
        <v>1008.391</v>
      </c>
      <c r="K265" s="54">
        <v>2850</v>
      </c>
      <c r="L265" s="54">
        <f t="shared" si="45"/>
        <v>2850</v>
      </c>
      <c r="M265" s="54">
        <f t="shared" si="43"/>
        <v>1008.391</v>
      </c>
      <c r="N265" s="54">
        <f t="shared" si="44"/>
        <v>1008.391</v>
      </c>
      <c r="O265" s="211"/>
      <c r="Q265" s="82"/>
      <c r="R265" s="82"/>
      <c r="S265" s="82"/>
      <c r="T265" s="82"/>
      <c r="U265" s="82"/>
      <c r="V265" s="82"/>
      <c r="W265" s="82"/>
      <c r="X265" s="82"/>
      <c r="Y265" s="82"/>
      <c r="Z265" s="82"/>
    </row>
    <row r="266" spans="1:257" s="210" customFormat="1" ht="66">
      <c r="A266" s="34" t="s">
        <v>53</v>
      </c>
      <c r="B266" s="58" t="s">
        <v>592</v>
      </c>
      <c r="C266" s="53" t="s">
        <v>593</v>
      </c>
      <c r="D266" s="53" t="s">
        <v>594</v>
      </c>
      <c r="E266" s="53">
        <v>898.17100000000005</v>
      </c>
      <c r="F266" s="54"/>
      <c r="G266" s="54">
        <v>660</v>
      </c>
      <c r="H266" s="54"/>
      <c r="I266" s="54">
        <v>808.303</v>
      </c>
      <c r="J266" s="54">
        <v>660</v>
      </c>
      <c r="K266" s="54">
        <v>808.303</v>
      </c>
      <c r="L266" s="54">
        <f t="shared" si="45"/>
        <v>808.303</v>
      </c>
      <c r="M266" s="54">
        <f t="shared" si="43"/>
        <v>660</v>
      </c>
      <c r="N266" s="54">
        <f t="shared" si="44"/>
        <v>660</v>
      </c>
      <c r="O266" s="211"/>
      <c r="Q266" s="82"/>
      <c r="R266" s="82"/>
      <c r="S266" s="82"/>
      <c r="T266" s="82"/>
      <c r="U266" s="82"/>
      <c r="V266" s="82"/>
      <c r="W266" s="82"/>
      <c r="X266" s="82"/>
      <c r="Y266" s="82"/>
      <c r="Z266" s="82"/>
    </row>
    <row r="267" spans="1:257" s="210" customFormat="1" ht="49.5">
      <c r="A267" s="34" t="s">
        <v>55</v>
      </c>
      <c r="B267" s="58" t="s">
        <v>595</v>
      </c>
      <c r="C267" s="53" t="s">
        <v>596</v>
      </c>
      <c r="D267" s="53" t="s">
        <v>597</v>
      </c>
      <c r="E267" s="53">
        <v>972.99800000000005</v>
      </c>
      <c r="F267" s="54"/>
      <c r="G267" s="54">
        <v>50</v>
      </c>
      <c r="H267" s="54"/>
      <c r="I267" s="54">
        <v>860</v>
      </c>
      <c r="J267" s="54">
        <v>50</v>
      </c>
      <c r="K267" s="54">
        <v>860</v>
      </c>
      <c r="L267" s="54">
        <f t="shared" si="45"/>
        <v>860</v>
      </c>
      <c r="M267" s="54">
        <v>50</v>
      </c>
      <c r="N267" s="54">
        <f>M267</f>
        <v>50</v>
      </c>
      <c r="O267" s="211"/>
      <c r="Q267" s="82"/>
      <c r="R267" s="82"/>
      <c r="S267" s="82"/>
      <c r="T267" s="82"/>
      <c r="U267" s="82"/>
      <c r="V267" s="82"/>
      <c r="W267" s="82"/>
      <c r="X267" s="82"/>
      <c r="Y267" s="82"/>
      <c r="Z267" s="82"/>
    </row>
    <row r="268" spans="1:257" s="210" customFormat="1" ht="49.5">
      <c r="A268" s="34" t="s">
        <v>56</v>
      </c>
      <c r="B268" s="58" t="s">
        <v>598</v>
      </c>
      <c r="C268" s="53" t="s">
        <v>599</v>
      </c>
      <c r="D268" s="53" t="s">
        <v>600</v>
      </c>
      <c r="E268" s="53">
        <v>4326.8429999999998</v>
      </c>
      <c r="F268" s="54"/>
      <c r="G268" s="54">
        <v>1200</v>
      </c>
      <c r="H268" s="54"/>
      <c r="I268" s="54">
        <v>2300</v>
      </c>
      <c r="J268" s="54">
        <v>990</v>
      </c>
      <c r="K268" s="54">
        <v>2300</v>
      </c>
      <c r="L268" s="54">
        <f t="shared" si="45"/>
        <v>2300</v>
      </c>
      <c r="M268" s="54">
        <v>990</v>
      </c>
      <c r="N268" s="54">
        <v>990</v>
      </c>
      <c r="O268" s="211"/>
      <c r="Q268" s="82"/>
      <c r="R268" s="82"/>
      <c r="S268" s="82"/>
      <c r="T268" s="82"/>
      <c r="U268" s="82"/>
      <c r="V268" s="82"/>
      <c r="W268" s="82"/>
      <c r="X268" s="82"/>
      <c r="Y268" s="82"/>
      <c r="Z268" s="82"/>
    </row>
    <row r="269" spans="1:257" s="210" customFormat="1" ht="49.5">
      <c r="A269" s="34" t="s">
        <v>57</v>
      </c>
      <c r="B269" s="58" t="s">
        <v>601</v>
      </c>
      <c r="C269" s="53" t="s">
        <v>602</v>
      </c>
      <c r="D269" s="53" t="s">
        <v>603</v>
      </c>
      <c r="E269" s="53">
        <v>2726.2179999999998</v>
      </c>
      <c r="F269" s="54"/>
      <c r="G269" s="54">
        <v>900</v>
      </c>
      <c r="H269" s="54"/>
      <c r="I269" s="54">
        <v>2000</v>
      </c>
      <c r="J269" s="54">
        <v>900</v>
      </c>
      <c r="K269" s="54">
        <v>2000</v>
      </c>
      <c r="L269" s="54">
        <f t="shared" si="45"/>
        <v>2000</v>
      </c>
      <c r="M269" s="54">
        <f>G269</f>
        <v>900</v>
      </c>
      <c r="N269" s="54">
        <f>G269</f>
        <v>900</v>
      </c>
      <c r="O269" s="211"/>
      <c r="Q269" s="82"/>
      <c r="R269" s="82"/>
      <c r="S269" s="82"/>
      <c r="T269" s="82"/>
      <c r="U269" s="82"/>
      <c r="V269" s="82"/>
      <c r="W269" s="82"/>
      <c r="X269" s="82"/>
      <c r="Y269" s="82"/>
      <c r="Z269" s="82"/>
    </row>
    <row r="270" spans="1:257" s="210" customFormat="1" ht="49.5">
      <c r="A270" s="34" t="s">
        <v>58</v>
      </c>
      <c r="B270" s="58" t="s">
        <v>604</v>
      </c>
      <c r="C270" s="53" t="s">
        <v>605</v>
      </c>
      <c r="D270" s="53" t="s">
        <v>606</v>
      </c>
      <c r="E270" s="53">
        <v>1811.221</v>
      </c>
      <c r="F270" s="54"/>
      <c r="G270" s="54">
        <v>900</v>
      </c>
      <c r="H270" s="54"/>
      <c r="I270" s="54">
        <v>1300</v>
      </c>
      <c r="J270" s="54">
        <v>350</v>
      </c>
      <c r="K270" s="54">
        <v>1300</v>
      </c>
      <c r="L270" s="54">
        <f t="shared" si="45"/>
        <v>1300</v>
      </c>
      <c r="M270" s="54">
        <v>350</v>
      </c>
      <c r="N270" s="54">
        <v>350</v>
      </c>
      <c r="O270" s="211"/>
      <c r="Q270" s="82"/>
      <c r="R270" s="82"/>
      <c r="S270" s="82"/>
      <c r="T270" s="82"/>
      <c r="U270" s="82"/>
      <c r="V270" s="82"/>
      <c r="W270" s="82"/>
      <c r="X270" s="82"/>
      <c r="Y270" s="82"/>
      <c r="Z270" s="82"/>
    </row>
    <row r="271" spans="1:257" s="210" customFormat="1" ht="16.5">
      <c r="A271" s="246" t="s">
        <v>619</v>
      </c>
      <c r="B271" s="22" t="s">
        <v>611</v>
      </c>
      <c r="C271" s="51"/>
      <c r="D271" s="51"/>
      <c r="E271" s="56">
        <f>+E272+E273+E274</f>
        <v>6223</v>
      </c>
      <c r="F271" s="56">
        <f t="shared" ref="F271:N271" si="46">+F272+F273+F274</f>
        <v>0</v>
      </c>
      <c r="G271" s="56">
        <f t="shared" si="46"/>
        <v>0</v>
      </c>
      <c r="H271" s="56">
        <f t="shared" si="46"/>
        <v>6223</v>
      </c>
      <c r="I271" s="56">
        <f t="shared" si="46"/>
        <v>4224</v>
      </c>
      <c r="J271" s="56">
        <f t="shared" si="46"/>
        <v>1000</v>
      </c>
      <c r="K271" s="56">
        <f t="shared" si="46"/>
        <v>5851</v>
      </c>
      <c r="L271" s="56">
        <f t="shared" si="46"/>
        <v>4224</v>
      </c>
      <c r="M271" s="56">
        <f t="shared" si="46"/>
        <v>1000</v>
      </c>
      <c r="N271" s="56">
        <f t="shared" si="46"/>
        <v>1000</v>
      </c>
      <c r="O271" s="238"/>
      <c r="Q271" s="82"/>
      <c r="R271" s="82"/>
      <c r="S271" s="82"/>
      <c r="T271" s="82"/>
      <c r="U271" s="82"/>
      <c r="V271" s="82"/>
      <c r="W271" s="82"/>
      <c r="X271" s="82"/>
      <c r="Y271" s="82"/>
      <c r="Z271" s="82"/>
    </row>
    <row r="272" spans="1:257" s="280" customFormat="1" ht="49.5">
      <c r="A272" s="246"/>
      <c r="B272" s="73" t="s">
        <v>379</v>
      </c>
      <c r="C272" s="247"/>
      <c r="D272" s="247"/>
      <c r="E272" s="37"/>
      <c r="F272" s="37"/>
      <c r="G272" s="37"/>
      <c r="H272" s="37"/>
      <c r="I272" s="37"/>
      <c r="J272" s="37"/>
      <c r="K272" s="37"/>
      <c r="L272" s="37"/>
      <c r="M272" s="37"/>
      <c r="N272" s="37"/>
      <c r="O272" s="211"/>
      <c r="P272" s="210"/>
      <c r="Q272" s="82"/>
      <c r="R272" s="82"/>
      <c r="S272" s="82"/>
      <c r="T272" s="82"/>
      <c r="U272" s="82"/>
      <c r="V272" s="82"/>
      <c r="W272" s="82"/>
      <c r="X272" s="82"/>
      <c r="Y272" s="82"/>
      <c r="Z272" s="82"/>
      <c r="AA272" s="210"/>
      <c r="AB272" s="210"/>
      <c r="AC272" s="210"/>
      <c r="AD272" s="210"/>
      <c r="AE272" s="210"/>
      <c r="AF272" s="210"/>
      <c r="AG272" s="210"/>
      <c r="AH272" s="210"/>
      <c r="AI272" s="210"/>
      <c r="AJ272" s="210"/>
      <c r="AK272" s="210"/>
      <c r="AL272" s="210"/>
      <c r="AM272" s="210"/>
      <c r="AN272" s="210"/>
      <c r="AO272" s="210"/>
      <c r="AP272" s="210"/>
      <c r="AQ272" s="210"/>
      <c r="AR272" s="210"/>
      <c r="AS272" s="210"/>
      <c r="AT272" s="210"/>
      <c r="AU272" s="210"/>
      <c r="AV272" s="210"/>
      <c r="AW272" s="210"/>
      <c r="AX272" s="210"/>
      <c r="AY272" s="210"/>
      <c r="AZ272" s="210"/>
      <c r="BA272" s="210"/>
      <c r="BB272" s="210"/>
      <c r="BC272" s="210"/>
      <c r="BD272" s="210"/>
      <c r="BE272" s="210"/>
      <c r="BF272" s="210"/>
      <c r="BG272" s="210"/>
      <c r="BH272" s="210"/>
      <c r="BI272" s="210"/>
      <c r="BJ272" s="210"/>
      <c r="BK272" s="210"/>
      <c r="BL272" s="210"/>
      <c r="BM272" s="210"/>
      <c r="BN272" s="210"/>
      <c r="BO272" s="210"/>
      <c r="BP272" s="210"/>
      <c r="BQ272" s="210"/>
      <c r="BR272" s="210"/>
      <c r="BS272" s="210"/>
      <c r="BT272" s="210"/>
      <c r="BU272" s="210"/>
      <c r="BV272" s="210"/>
      <c r="BW272" s="210"/>
      <c r="BX272" s="210"/>
      <c r="BY272" s="210"/>
      <c r="BZ272" s="210"/>
      <c r="CA272" s="210"/>
      <c r="CB272" s="210"/>
      <c r="CC272" s="210"/>
      <c r="CD272" s="210"/>
      <c r="CE272" s="210"/>
      <c r="CF272" s="210"/>
      <c r="CG272" s="210"/>
      <c r="CH272" s="210"/>
      <c r="CI272" s="210"/>
      <c r="CJ272" s="210"/>
      <c r="CK272" s="210"/>
      <c r="CL272" s="210"/>
      <c r="CM272" s="210"/>
      <c r="CN272" s="210"/>
      <c r="CO272" s="210"/>
      <c r="CP272" s="210"/>
      <c r="CQ272" s="210"/>
      <c r="CR272" s="210"/>
      <c r="CS272" s="210"/>
      <c r="CT272" s="210"/>
      <c r="CU272" s="210"/>
      <c r="CV272" s="210"/>
      <c r="CW272" s="210"/>
      <c r="CX272" s="210"/>
      <c r="CY272" s="210"/>
      <c r="CZ272" s="210"/>
      <c r="DA272" s="210"/>
      <c r="DB272" s="210"/>
      <c r="DC272" s="210"/>
      <c r="DD272" s="210"/>
      <c r="DE272" s="210"/>
      <c r="DF272" s="210"/>
      <c r="DG272" s="210"/>
      <c r="DH272" s="210"/>
      <c r="DI272" s="210"/>
      <c r="DJ272" s="210"/>
      <c r="DK272" s="210"/>
      <c r="DL272" s="210"/>
      <c r="DM272" s="210"/>
      <c r="DN272" s="210"/>
      <c r="DO272" s="210"/>
      <c r="DP272" s="210"/>
      <c r="DQ272" s="210"/>
      <c r="DR272" s="210"/>
      <c r="DS272" s="210"/>
      <c r="DT272" s="210"/>
      <c r="DU272" s="210"/>
      <c r="DV272" s="210"/>
      <c r="DW272" s="210"/>
      <c r="DX272" s="210"/>
      <c r="DY272" s="210"/>
      <c r="DZ272" s="210"/>
      <c r="EA272" s="210"/>
      <c r="EB272" s="210"/>
      <c r="EC272" s="210"/>
      <c r="ED272" s="210"/>
      <c r="EE272" s="210"/>
      <c r="EF272" s="210"/>
      <c r="EG272" s="210"/>
      <c r="EH272" s="210"/>
      <c r="EI272" s="210"/>
      <c r="EJ272" s="210"/>
      <c r="EK272" s="210"/>
      <c r="EL272" s="210"/>
      <c r="EM272" s="210"/>
      <c r="EN272" s="210"/>
      <c r="EO272" s="210"/>
      <c r="EP272" s="210"/>
      <c r="EQ272" s="210"/>
      <c r="ER272" s="210"/>
      <c r="ES272" s="210"/>
      <c r="ET272" s="210"/>
      <c r="EU272" s="210"/>
      <c r="EV272" s="210"/>
      <c r="EW272" s="210"/>
      <c r="EX272" s="210"/>
      <c r="EY272" s="210"/>
      <c r="EZ272" s="210"/>
      <c r="FA272" s="210"/>
      <c r="FB272" s="210"/>
      <c r="FC272" s="210"/>
      <c r="FD272" s="210"/>
      <c r="FE272" s="210"/>
      <c r="FF272" s="210"/>
      <c r="FG272" s="210"/>
      <c r="FH272" s="210"/>
      <c r="FI272" s="210"/>
      <c r="FJ272" s="210"/>
      <c r="FK272" s="210"/>
      <c r="FL272" s="210"/>
      <c r="FM272" s="210"/>
      <c r="FN272" s="210"/>
      <c r="FO272" s="210"/>
      <c r="FP272" s="210"/>
      <c r="FQ272" s="210"/>
      <c r="FR272" s="210"/>
      <c r="FS272" s="210"/>
      <c r="FT272" s="210"/>
      <c r="FU272" s="210"/>
      <c r="FV272" s="210"/>
      <c r="FW272" s="210"/>
      <c r="FX272" s="210"/>
      <c r="FY272" s="210"/>
      <c r="FZ272" s="210"/>
      <c r="GA272" s="210"/>
      <c r="GB272" s="210"/>
      <c r="GC272" s="210"/>
      <c r="GD272" s="210"/>
      <c r="GE272" s="210"/>
      <c r="GF272" s="210"/>
      <c r="GG272" s="210"/>
      <c r="GH272" s="210"/>
      <c r="GI272" s="210"/>
      <c r="GJ272" s="210"/>
      <c r="GK272" s="210"/>
      <c r="GL272" s="210"/>
      <c r="GM272" s="210"/>
      <c r="GN272" s="210"/>
      <c r="GO272" s="210"/>
      <c r="GP272" s="210"/>
      <c r="GQ272" s="210"/>
      <c r="GR272" s="210"/>
      <c r="GS272" s="210"/>
      <c r="GT272" s="210"/>
      <c r="GU272" s="210"/>
      <c r="GV272" s="210"/>
      <c r="GW272" s="210"/>
      <c r="GX272" s="210"/>
      <c r="GY272" s="210"/>
      <c r="GZ272" s="210"/>
      <c r="HA272" s="210"/>
      <c r="HB272" s="210"/>
      <c r="HC272" s="210"/>
      <c r="HD272" s="210"/>
      <c r="HE272" s="210"/>
      <c r="HF272" s="210"/>
      <c r="HG272" s="210"/>
      <c r="HH272" s="210"/>
      <c r="HI272" s="210"/>
      <c r="HJ272" s="210"/>
      <c r="HK272" s="210"/>
      <c r="HL272" s="210"/>
      <c r="HM272" s="210"/>
      <c r="HN272" s="210"/>
      <c r="HO272" s="210"/>
      <c r="HP272" s="210"/>
      <c r="HQ272" s="210"/>
      <c r="HR272" s="210"/>
      <c r="HS272" s="210"/>
      <c r="HT272" s="210"/>
      <c r="HU272" s="210"/>
      <c r="HV272" s="210"/>
      <c r="HW272" s="210"/>
      <c r="HX272" s="210"/>
      <c r="HY272" s="210"/>
      <c r="HZ272" s="210"/>
      <c r="IA272" s="210"/>
      <c r="IB272" s="210"/>
      <c r="IC272" s="210"/>
      <c r="ID272" s="210"/>
      <c r="IE272" s="210"/>
      <c r="IF272" s="210"/>
      <c r="IG272" s="210"/>
      <c r="IH272" s="210"/>
      <c r="II272" s="210"/>
      <c r="IJ272" s="210"/>
      <c r="IK272" s="210"/>
      <c r="IL272" s="210"/>
      <c r="IM272" s="210"/>
      <c r="IN272" s="210"/>
      <c r="IO272" s="210"/>
      <c r="IP272" s="210"/>
      <c r="IQ272" s="210"/>
      <c r="IR272" s="210"/>
      <c r="IS272" s="210"/>
      <c r="IT272" s="210"/>
      <c r="IU272" s="210"/>
      <c r="IV272" s="210"/>
      <c r="IW272" s="210"/>
    </row>
    <row r="273" spans="1:257" s="280" customFormat="1" ht="33">
      <c r="A273" s="246"/>
      <c r="B273" s="22" t="s">
        <v>141</v>
      </c>
      <c r="C273" s="23"/>
      <c r="D273" s="24"/>
      <c r="E273" s="25"/>
      <c r="F273" s="25"/>
      <c r="G273" s="25"/>
      <c r="H273" s="25"/>
      <c r="I273" s="25"/>
      <c r="J273" s="25"/>
      <c r="K273" s="25"/>
      <c r="L273" s="25"/>
      <c r="M273" s="25"/>
      <c r="N273" s="25"/>
      <c r="O273" s="211"/>
      <c r="P273" s="210"/>
      <c r="Q273" s="82"/>
      <c r="R273" s="82"/>
      <c r="S273" s="82"/>
      <c r="T273" s="82"/>
      <c r="U273" s="82"/>
      <c r="V273" s="82"/>
      <c r="W273" s="82"/>
      <c r="X273" s="82"/>
      <c r="Y273" s="82"/>
      <c r="Z273" s="82"/>
      <c r="AA273" s="210"/>
      <c r="AB273" s="210"/>
      <c r="AC273" s="210"/>
      <c r="AD273" s="210"/>
      <c r="AE273" s="210"/>
      <c r="AF273" s="210"/>
      <c r="AG273" s="210"/>
      <c r="AH273" s="210"/>
      <c r="AI273" s="210"/>
      <c r="AJ273" s="210"/>
      <c r="AK273" s="210"/>
      <c r="AL273" s="210"/>
      <c r="AM273" s="210"/>
      <c r="AN273" s="210"/>
      <c r="AO273" s="210"/>
      <c r="AP273" s="210"/>
      <c r="AQ273" s="210"/>
      <c r="AR273" s="210"/>
      <c r="AS273" s="210"/>
      <c r="AT273" s="210"/>
      <c r="AU273" s="210"/>
      <c r="AV273" s="210"/>
      <c r="AW273" s="210"/>
      <c r="AX273" s="210"/>
      <c r="AY273" s="210"/>
      <c r="AZ273" s="210"/>
      <c r="BA273" s="210"/>
      <c r="BB273" s="210"/>
      <c r="BC273" s="210"/>
      <c r="BD273" s="210"/>
      <c r="BE273" s="210"/>
      <c r="BF273" s="210"/>
      <c r="BG273" s="210"/>
      <c r="BH273" s="210"/>
      <c r="BI273" s="210"/>
      <c r="BJ273" s="210"/>
      <c r="BK273" s="210"/>
      <c r="BL273" s="210"/>
      <c r="BM273" s="210"/>
      <c r="BN273" s="210"/>
      <c r="BO273" s="210"/>
      <c r="BP273" s="210"/>
      <c r="BQ273" s="210"/>
      <c r="BR273" s="210"/>
      <c r="BS273" s="210"/>
      <c r="BT273" s="210"/>
      <c r="BU273" s="210"/>
      <c r="BV273" s="210"/>
      <c r="BW273" s="210"/>
      <c r="BX273" s="210"/>
      <c r="BY273" s="210"/>
      <c r="BZ273" s="210"/>
      <c r="CA273" s="210"/>
      <c r="CB273" s="210"/>
      <c r="CC273" s="210"/>
      <c r="CD273" s="210"/>
      <c r="CE273" s="210"/>
      <c r="CF273" s="210"/>
      <c r="CG273" s="210"/>
      <c r="CH273" s="210"/>
      <c r="CI273" s="210"/>
      <c r="CJ273" s="210"/>
      <c r="CK273" s="210"/>
      <c r="CL273" s="210"/>
      <c r="CM273" s="210"/>
      <c r="CN273" s="210"/>
      <c r="CO273" s="210"/>
      <c r="CP273" s="210"/>
      <c r="CQ273" s="210"/>
      <c r="CR273" s="210"/>
      <c r="CS273" s="210"/>
      <c r="CT273" s="210"/>
      <c r="CU273" s="210"/>
      <c r="CV273" s="210"/>
      <c r="CW273" s="210"/>
      <c r="CX273" s="210"/>
      <c r="CY273" s="210"/>
      <c r="CZ273" s="210"/>
      <c r="DA273" s="210"/>
      <c r="DB273" s="210"/>
      <c r="DC273" s="210"/>
      <c r="DD273" s="210"/>
      <c r="DE273" s="210"/>
      <c r="DF273" s="210"/>
      <c r="DG273" s="210"/>
      <c r="DH273" s="210"/>
      <c r="DI273" s="210"/>
      <c r="DJ273" s="210"/>
      <c r="DK273" s="210"/>
      <c r="DL273" s="210"/>
      <c r="DM273" s="210"/>
      <c r="DN273" s="210"/>
      <c r="DO273" s="210"/>
      <c r="DP273" s="210"/>
      <c r="DQ273" s="210"/>
      <c r="DR273" s="210"/>
      <c r="DS273" s="210"/>
      <c r="DT273" s="210"/>
      <c r="DU273" s="210"/>
      <c r="DV273" s="210"/>
      <c r="DW273" s="210"/>
      <c r="DX273" s="210"/>
      <c r="DY273" s="210"/>
      <c r="DZ273" s="210"/>
      <c r="EA273" s="210"/>
      <c r="EB273" s="210"/>
      <c r="EC273" s="210"/>
      <c r="ED273" s="210"/>
      <c r="EE273" s="210"/>
      <c r="EF273" s="210"/>
      <c r="EG273" s="210"/>
      <c r="EH273" s="210"/>
      <c r="EI273" s="210"/>
      <c r="EJ273" s="210"/>
      <c r="EK273" s="210"/>
      <c r="EL273" s="210"/>
      <c r="EM273" s="210"/>
      <c r="EN273" s="210"/>
      <c r="EO273" s="210"/>
      <c r="EP273" s="210"/>
      <c r="EQ273" s="210"/>
      <c r="ER273" s="210"/>
      <c r="ES273" s="210"/>
      <c r="ET273" s="210"/>
      <c r="EU273" s="210"/>
      <c r="EV273" s="210"/>
      <c r="EW273" s="210"/>
      <c r="EX273" s="210"/>
      <c r="EY273" s="210"/>
      <c r="EZ273" s="210"/>
      <c r="FA273" s="210"/>
      <c r="FB273" s="210"/>
      <c r="FC273" s="210"/>
      <c r="FD273" s="210"/>
      <c r="FE273" s="210"/>
      <c r="FF273" s="210"/>
      <c r="FG273" s="210"/>
      <c r="FH273" s="210"/>
      <c r="FI273" s="210"/>
      <c r="FJ273" s="210"/>
      <c r="FK273" s="210"/>
      <c r="FL273" s="210"/>
      <c r="FM273" s="210"/>
      <c r="FN273" s="210"/>
      <c r="FO273" s="210"/>
      <c r="FP273" s="210"/>
      <c r="FQ273" s="210"/>
      <c r="FR273" s="210"/>
      <c r="FS273" s="210"/>
      <c r="FT273" s="210"/>
      <c r="FU273" s="210"/>
      <c r="FV273" s="210"/>
      <c r="FW273" s="210"/>
      <c r="FX273" s="210"/>
      <c r="FY273" s="210"/>
      <c r="FZ273" s="210"/>
      <c r="GA273" s="210"/>
      <c r="GB273" s="210"/>
      <c r="GC273" s="210"/>
      <c r="GD273" s="210"/>
      <c r="GE273" s="210"/>
      <c r="GF273" s="210"/>
      <c r="GG273" s="210"/>
      <c r="GH273" s="210"/>
      <c r="GI273" s="210"/>
      <c r="GJ273" s="210"/>
      <c r="GK273" s="210"/>
      <c r="GL273" s="210"/>
      <c r="GM273" s="210"/>
      <c r="GN273" s="210"/>
      <c r="GO273" s="210"/>
      <c r="GP273" s="210"/>
      <c r="GQ273" s="210"/>
      <c r="GR273" s="210"/>
      <c r="GS273" s="210"/>
      <c r="GT273" s="210"/>
      <c r="GU273" s="210"/>
      <c r="GV273" s="210"/>
      <c r="GW273" s="210"/>
      <c r="GX273" s="210"/>
      <c r="GY273" s="210"/>
      <c r="GZ273" s="210"/>
      <c r="HA273" s="210"/>
      <c r="HB273" s="210"/>
      <c r="HC273" s="210"/>
      <c r="HD273" s="210"/>
      <c r="HE273" s="210"/>
      <c r="HF273" s="210"/>
      <c r="HG273" s="210"/>
      <c r="HH273" s="210"/>
      <c r="HI273" s="210"/>
      <c r="HJ273" s="210"/>
      <c r="HK273" s="210"/>
      <c r="HL273" s="210"/>
      <c r="HM273" s="210"/>
      <c r="HN273" s="210"/>
      <c r="HO273" s="210"/>
      <c r="HP273" s="210"/>
      <c r="HQ273" s="210"/>
      <c r="HR273" s="210"/>
      <c r="HS273" s="210"/>
      <c r="HT273" s="210"/>
      <c r="HU273" s="210"/>
      <c r="HV273" s="210"/>
      <c r="HW273" s="210"/>
      <c r="HX273" s="210"/>
      <c r="HY273" s="210"/>
      <c r="HZ273" s="210"/>
      <c r="IA273" s="210"/>
      <c r="IB273" s="210"/>
      <c r="IC273" s="210"/>
      <c r="ID273" s="210"/>
      <c r="IE273" s="210"/>
      <c r="IF273" s="210"/>
      <c r="IG273" s="210"/>
      <c r="IH273" s="210"/>
      <c r="II273" s="210"/>
      <c r="IJ273" s="210"/>
      <c r="IK273" s="210"/>
      <c r="IL273" s="210"/>
      <c r="IM273" s="210"/>
      <c r="IN273" s="210"/>
      <c r="IO273" s="210"/>
      <c r="IP273" s="210"/>
      <c r="IQ273" s="210"/>
      <c r="IR273" s="210"/>
      <c r="IS273" s="210"/>
      <c r="IT273" s="210"/>
      <c r="IU273" s="210"/>
      <c r="IV273" s="210"/>
      <c r="IW273" s="210"/>
    </row>
    <row r="274" spans="1:257" s="280" customFormat="1" ht="33">
      <c r="A274" s="246"/>
      <c r="B274" s="22" t="s">
        <v>335</v>
      </c>
      <c r="C274" s="23"/>
      <c r="D274" s="24"/>
      <c r="E274" s="25">
        <f>SUM(E275)</f>
        <v>6223</v>
      </c>
      <c r="F274" s="25">
        <f t="shared" ref="F274:N274" si="47">SUM(F275)</f>
        <v>0</v>
      </c>
      <c r="G274" s="25">
        <f t="shared" si="47"/>
        <v>0</v>
      </c>
      <c r="H274" s="25">
        <f t="shared" si="47"/>
        <v>6223</v>
      </c>
      <c r="I274" s="25">
        <f t="shared" si="47"/>
        <v>4224</v>
      </c>
      <c r="J274" s="25">
        <f t="shared" si="47"/>
        <v>1000</v>
      </c>
      <c r="K274" s="25">
        <f t="shared" si="47"/>
        <v>5851</v>
      </c>
      <c r="L274" s="25">
        <f t="shared" si="47"/>
        <v>4224</v>
      </c>
      <c r="M274" s="25">
        <f t="shared" si="47"/>
        <v>1000</v>
      </c>
      <c r="N274" s="25">
        <f t="shared" si="47"/>
        <v>1000</v>
      </c>
      <c r="O274" s="211"/>
      <c r="P274" s="210"/>
      <c r="Q274" s="82"/>
      <c r="R274" s="82"/>
      <c r="S274" s="82"/>
      <c r="T274" s="82"/>
      <c r="U274" s="82"/>
      <c r="V274" s="82"/>
      <c r="W274" s="82"/>
      <c r="X274" s="82"/>
      <c r="Y274" s="82"/>
      <c r="Z274" s="82"/>
      <c r="AA274" s="210"/>
      <c r="AB274" s="210"/>
      <c r="AC274" s="210"/>
      <c r="AD274" s="210"/>
      <c r="AE274" s="210"/>
      <c r="AF274" s="210"/>
      <c r="AG274" s="210"/>
      <c r="AH274" s="210"/>
      <c r="AI274" s="210"/>
      <c r="AJ274" s="210"/>
      <c r="AK274" s="210"/>
      <c r="AL274" s="210"/>
      <c r="AM274" s="210"/>
      <c r="AN274" s="210"/>
      <c r="AO274" s="210"/>
      <c r="AP274" s="210"/>
      <c r="AQ274" s="210"/>
      <c r="AR274" s="210"/>
      <c r="AS274" s="210"/>
      <c r="AT274" s="210"/>
      <c r="AU274" s="210"/>
      <c r="AV274" s="210"/>
      <c r="AW274" s="210"/>
      <c r="AX274" s="210"/>
      <c r="AY274" s="210"/>
      <c r="AZ274" s="210"/>
      <c r="BA274" s="210"/>
      <c r="BB274" s="210"/>
      <c r="BC274" s="210"/>
      <c r="BD274" s="210"/>
      <c r="BE274" s="210"/>
      <c r="BF274" s="210"/>
      <c r="BG274" s="210"/>
      <c r="BH274" s="210"/>
      <c r="BI274" s="210"/>
      <c r="BJ274" s="210"/>
      <c r="BK274" s="210"/>
      <c r="BL274" s="210"/>
      <c r="BM274" s="210"/>
      <c r="BN274" s="210"/>
      <c r="BO274" s="210"/>
      <c r="BP274" s="210"/>
      <c r="BQ274" s="210"/>
      <c r="BR274" s="210"/>
      <c r="BS274" s="210"/>
      <c r="BT274" s="210"/>
      <c r="BU274" s="210"/>
      <c r="BV274" s="210"/>
      <c r="BW274" s="210"/>
      <c r="BX274" s="210"/>
      <c r="BY274" s="210"/>
      <c r="BZ274" s="210"/>
      <c r="CA274" s="210"/>
      <c r="CB274" s="210"/>
      <c r="CC274" s="210"/>
      <c r="CD274" s="210"/>
      <c r="CE274" s="210"/>
      <c r="CF274" s="210"/>
      <c r="CG274" s="210"/>
      <c r="CH274" s="210"/>
      <c r="CI274" s="210"/>
      <c r="CJ274" s="210"/>
      <c r="CK274" s="210"/>
      <c r="CL274" s="210"/>
      <c r="CM274" s="210"/>
      <c r="CN274" s="210"/>
      <c r="CO274" s="210"/>
      <c r="CP274" s="210"/>
      <c r="CQ274" s="210"/>
      <c r="CR274" s="210"/>
      <c r="CS274" s="210"/>
      <c r="CT274" s="210"/>
      <c r="CU274" s="210"/>
      <c r="CV274" s="210"/>
      <c r="CW274" s="210"/>
      <c r="CX274" s="210"/>
      <c r="CY274" s="210"/>
      <c r="CZ274" s="210"/>
      <c r="DA274" s="210"/>
      <c r="DB274" s="210"/>
      <c r="DC274" s="210"/>
      <c r="DD274" s="210"/>
      <c r="DE274" s="210"/>
      <c r="DF274" s="210"/>
      <c r="DG274" s="210"/>
      <c r="DH274" s="210"/>
      <c r="DI274" s="210"/>
      <c r="DJ274" s="210"/>
      <c r="DK274" s="210"/>
      <c r="DL274" s="210"/>
      <c r="DM274" s="210"/>
      <c r="DN274" s="210"/>
      <c r="DO274" s="210"/>
      <c r="DP274" s="210"/>
      <c r="DQ274" s="210"/>
      <c r="DR274" s="210"/>
      <c r="DS274" s="210"/>
      <c r="DT274" s="210"/>
      <c r="DU274" s="210"/>
      <c r="DV274" s="210"/>
      <c r="DW274" s="210"/>
      <c r="DX274" s="210"/>
      <c r="DY274" s="210"/>
      <c r="DZ274" s="210"/>
      <c r="EA274" s="210"/>
      <c r="EB274" s="210"/>
      <c r="EC274" s="210"/>
      <c r="ED274" s="210"/>
      <c r="EE274" s="210"/>
      <c r="EF274" s="210"/>
      <c r="EG274" s="210"/>
      <c r="EH274" s="210"/>
      <c r="EI274" s="210"/>
      <c r="EJ274" s="210"/>
      <c r="EK274" s="210"/>
      <c r="EL274" s="210"/>
      <c r="EM274" s="210"/>
      <c r="EN274" s="210"/>
      <c r="EO274" s="210"/>
      <c r="EP274" s="210"/>
      <c r="EQ274" s="210"/>
      <c r="ER274" s="210"/>
      <c r="ES274" s="210"/>
      <c r="ET274" s="210"/>
      <c r="EU274" s="210"/>
      <c r="EV274" s="210"/>
      <c r="EW274" s="210"/>
      <c r="EX274" s="210"/>
      <c r="EY274" s="210"/>
      <c r="EZ274" s="210"/>
      <c r="FA274" s="210"/>
      <c r="FB274" s="210"/>
      <c r="FC274" s="210"/>
      <c r="FD274" s="210"/>
      <c r="FE274" s="210"/>
      <c r="FF274" s="210"/>
      <c r="FG274" s="210"/>
      <c r="FH274" s="210"/>
      <c r="FI274" s="210"/>
      <c r="FJ274" s="210"/>
      <c r="FK274" s="210"/>
      <c r="FL274" s="210"/>
      <c r="FM274" s="210"/>
      <c r="FN274" s="210"/>
      <c r="FO274" s="210"/>
      <c r="FP274" s="210"/>
      <c r="FQ274" s="210"/>
      <c r="FR274" s="210"/>
      <c r="FS274" s="210"/>
      <c r="FT274" s="210"/>
      <c r="FU274" s="210"/>
      <c r="FV274" s="210"/>
      <c r="FW274" s="210"/>
      <c r="FX274" s="210"/>
      <c r="FY274" s="210"/>
      <c r="FZ274" s="210"/>
      <c r="GA274" s="210"/>
      <c r="GB274" s="210"/>
      <c r="GC274" s="210"/>
      <c r="GD274" s="210"/>
      <c r="GE274" s="210"/>
      <c r="GF274" s="210"/>
      <c r="GG274" s="210"/>
      <c r="GH274" s="210"/>
      <c r="GI274" s="210"/>
      <c r="GJ274" s="210"/>
      <c r="GK274" s="210"/>
      <c r="GL274" s="210"/>
      <c r="GM274" s="210"/>
      <c r="GN274" s="210"/>
      <c r="GO274" s="210"/>
      <c r="GP274" s="210"/>
      <c r="GQ274" s="210"/>
      <c r="GR274" s="210"/>
      <c r="GS274" s="210"/>
      <c r="GT274" s="210"/>
      <c r="GU274" s="210"/>
      <c r="GV274" s="210"/>
      <c r="GW274" s="210"/>
      <c r="GX274" s="210"/>
      <c r="GY274" s="210"/>
      <c r="GZ274" s="210"/>
      <c r="HA274" s="210"/>
      <c r="HB274" s="210"/>
      <c r="HC274" s="210"/>
      <c r="HD274" s="210"/>
      <c r="HE274" s="210"/>
      <c r="HF274" s="210"/>
      <c r="HG274" s="210"/>
      <c r="HH274" s="210"/>
      <c r="HI274" s="210"/>
      <c r="HJ274" s="210"/>
      <c r="HK274" s="210"/>
      <c r="HL274" s="210"/>
      <c r="HM274" s="210"/>
      <c r="HN274" s="210"/>
      <c r="HO274" s="210"/>
      <c r="HP274" s="210"/>
      <c r="HQ274" s="210"/>
      <c r="HR274" s="210"/>
      <c r="HS274" s="210"/>
      <c r="HT274" s="210"/>
      <c r="HU274" s="210"/>
      <c r="HV274" s="210"/>
      <c r="HW274" s="210"/>
      <c r="HX274" s="210"/>
      <c r="HY274" s="210"/>
      <c r="HZ274" s="210"/>
      <c r="IA274" s="210"/>
      <c r="IB274" s="210"/>
      <c r="IC274" s="210"/>
      <c r="ID274" s="210"/>
      <c r="IE274" s="210"/>
      <c r="IF274" s="210"/>
      <c r="IG274" s="210"/>
      <c r="IH274" s="210"/>
      <c r="II274" s="210"/>
      <c r="IJ274" s="210"/>
      <c r="IK274" s="210"/>
      <c r="IL274" s="210"/>
      <c r="IM274" s="210"/>
      <c r="IN274" s="210"/>
      <c r="IO274" s="210"/>
      <c r="IP274" s="210"/>
      <c r="IQ274" s="210"/>
      <c r="IR274" s="210"/>
      <c r="IS274" s="210"/>
      <c r="IT274" s="210"/>
      <c r="IU274" s="210"/>
      <c r="IV274" s="210"/>
      <c r="IW274" s="210"/>
    </row>
    <row r="275" spans="1:257" s="83" customFormat="1" ht="66">
      <c r="A275" s="46">
        <v>3</v>
      </c>
      <c r="B275" s="42" t="s">
        <v>608</v>
      </c>
      <c r="C275" s="46" t="s">
        <v>609</v>
      </c>
      <c r="D275" s="46" t="s">
        <v>610</v>
      </c>
      <c r="E275" s="54">
        <v>6223</v>
      </c>
      <c r="F275" s="46"/>
      <c r="G275" s="44"/>
      <c r="H275" s="54">
        <f>E275-F275</f>
        <v>6223</v>
      </c>
      <c r="I275" s="33">
        <v>4224</v>
      </c>
      <c r="J275" s="33">
        <v>1000</v>
      </c>
      <c r="K275" s="54">
        <v>5851</v>
      </c>
      <c r="L275" s="33">
        <v>4224</v>
      </c>
      <c r="M275" s="33">
        <v>1000</v>
      </c>
      <c r="N275" s="33">
        <v>1000</v>
      </c>
      <c r="O275" s="82"/>
      <c r="Q275" s="82"/>
      <c r="R275" s="82"/>
      <c r="S275" s="82"/>
      <c r="T275" s="82"/>
      <c r="U275" s="82"/>
      <c r="V275" s="82"/>
      <c r="W275" s="82"/>
      <c r="X275" s="82"/>
      <c r="Y275" s="82"/>
      <c r="Z275" s="82"/>
    </row>
    <row r="276" spans="1:257" s="210" customFormat="1" ht="16.5">
      <c r="A276" s="167" t="s">
        <v>710</v>
      </c>
      <c r="B276" s="266" t="s">
        <v>618</v>
      </c>
      <c r="C276" s="23"/>
      <c r="D276" s="168"/>
      <c r="E276" s="169">
        <f t="shared" ref="E276:N276" si="48">+E277+E278+E282</f>
        <v>17065.925999999999</v>
      </c>
      <c r="F276" s="169">
        <f t="shared" si="48"/>
        <v>2600</v>
      </c>
      <c r="G276" s="169">
        <f t="shared" si="48"/>
        <v>4100</v>
      </c>
      <c r="H276" s="169">
        <f t="shared" si="48"/>
        <v>10365.925999999999</v>
      </c>
      <c r="I276" s="169">
        <f t="shared" si="48"/>
        <v>13291.537</v>
      </c>
      <c r="J276" s="169">
        <f t="shared" si="48"/>
        <v>3988</v>
      </c>
      <c r="K276" s="169">
        <f t="shared" si="48"/>
        <v>13897.572</v>
      </c>
      <c r="L276" s="169">
        <f t="shared" si="48"/>
        <v>4608</v>
      </c>
      <c r="M276" s="169">
        <f t="shared" si="48"/>
        <v>3950</v>
      </c>
      <c r="N276" s="169">
        <f t="shared" si="48"/>
        <v>3988</v>
      </c>
      <c r="O276" s="171"/>
      <c r="Q276" s="82"/>
      <c r="R276" s="82"/>
      <c r="S276" s="82"/>
      <c r="T276" s="82"/>
      <c r="U276" s="82"/>
      <c r="V276" s="82"/>
      <c r="W276" s="82"/>
      <c r="X276" s="82"/>
      <c r="Y276" s="82"/>
      <c r="Z276" s="82"/>
    </row>
    <row r="277" spans="1:257" s="280" customFormat="1" ht="49.5">
      <c r="A277" s="246"/>
      <c r="B277" s="73" t="s">
        <v>379</v>
      </c>
      <c r="C277" s="247"/>
      <c r="D277" s="247"/>
      <c r="E277" s="37"/>
      <c r="F277" s="37"/>
      <c r="G277" s="37"/>
      <c r="H277" s="37"/>
      <c r="I277" s="37"/>
      <c r="J277" s="37"/>
      <c r="K277" s="37"/>
      <c r="L277" s="37"/>
      <c r="M277" s="37"/>
      <c r="N277" s="37"/>
      <c r="O277" s="211"/>
      <c r="P277" s="210"/>
      <c r="Q277" s="82"/>
      <c r="R277" s="82"/>
      <c r="S277" s="82"/>
      <c r="T277" s="82"/>
      <c r="U277" s="82"/>
      <c r="V277" s="82"/>
      <c r="W277" s="82"/>
      <c r="X277" s="82"/>
      <c r="Y277" s="82"/>
      <c r="Z277" s="82"/>
      <c r="AA277" s="210"/>
      <c r="AB277" s="210"/>
      <c r="AC277" s="210"/>
      <c r="AD277" s="210"/>
      <c r="AE277" s="210"/>
      <c r="AF277" s="210"/>
      <c r="AG277" s="210"/>
      <c r="AH277" s="210"/>
      <c r="AI277" s="210"/>
      <c r="AJ277" s="210"/>
      <c r="AK277" s="210"/>
      <c r="AL277" s="210"/>
      <c r="AM277" s="210"/>
      <c r="AN277" s="210"/>
      <c r="AO277" s="210"/>
      <c r="AP277" s="210"/>
      <c r="AQ277" s="210"/>
      <c r="AR277" s="210"/>
      <c r="AS277" s="210"/>
      <c r="AT277" s="210"/>
      <c r="AU277" s="210"/>
      <c r="AV277" s="210"/>
      <c r="AW277" s="210"/>
      <c r="AX277" s="210"/>
      <c r="AY277" s="210"/>
      <c r="AZ277" s="210"/>
      <c r="BA277" s="210"/>
      <c r="BB277" s="210"/>
      <c r="BC277" s="210"/>
      <c r="BD277" s="210"/>
      <c r="BE277" s="210"/>
      <c r="BF277" s="210"/>
      <c r="BG277" s="210"/>
      <c r="BH277" s="210"/>
      <c r="BI277" s="210"/>
      <c r="BJ277" s="210"/>
      <c r="BK277" s="210"/>
      <c r="BL277" s="210"/>
      <c r="BM277" s="210"/>
      <c r="BN277" s="210"/>
      <c r="BO277" s="210"/>
      <c r="BP277" s="210"/>
      <c r="BQ277" s="210"/>
      <c r="BR277" s="210"/>
      <c r="BS277" s="210"/>
      <c r="BT277" s="210"/>
      <c r="BU277" s="210"/>
      <c r="BV277" s="210"/>
      <c r="BW277" s="210"/>
      <c r="BX277" s="210"/>
      <c r="BY277" s="210"/>
      <c r="BZ277" s="210"/>
      <c r="CA277" s="210"/>
      <c r="CB277" s="210"/>
      <c r="CC277" s="210"/>
      <c r="CD277" s="210"/>
      <c r="CE277" s="210"/>
      <c r="CF277" s="210"/>
      <c r="CG277" s="210"/>
      <c r="CH277" s="210"/>
      <c r="CI277" s="210"/>
      <c r="CJ277" s="210"/>
      <c r="CK277" s="210"/>
      <c r="CL277" s="210"/>
      <c r="CM277" s="210"/>
      <c r="CN277" s="210"/>
      <c r="CO277" s="210"/>
      <c r="CP277" s="210"/>
      <c r="CQ277" s="210"/>
      <c r="CR277" s="210"/>
      <c r="CS277" s="210"/>
      <c r="CT277" s="210"/>
      <c r="CU277" s="210"/>
      <c r="CV277" s="210"/>
      <c r="CW277" s="210"/>
      <c r="CX277" s="210"/>
      <c r="CY277" s="210"/>
      <c r="CZ277" s="210"/>
      <c r="DA277" s="210"/>
      <c r="DB277" s="210"/>
      <c r="DC277" s="210"/>
      <c r="DD277" s="210"/>
      <c r="DE277" s="210"/>
      <c r="DF277" s="210"/>
      <c r="DG277" s="210"/>
      <c r="DH277" s="210"/>
      <c r="DI277" s="210"/>
      <c r="DJ277" s="210"/>
      <c r="DK277" s="210"/>
      <c r="DL277" s="210"/>
      <c r="DM277" s="210"/>
      <c r="DN277" s="210"/>
      <c r="DO277" s="210"/>
      <c r="DP277" s="210"/>
      <c r="DQ277" s="210"/>
      <c r="DR277" s="210"/>
      <c r="DS277" s="210"/>
      <c r="DT277" s="210"/>
      <c r="DU277" s="210"/>
      <c r="DV277" s="210"/>
      <c r="DW277" s="210"/>
      <c r="DX277" s="210"/>
      <c r="DY277" s="210"/>
      <c r="DZ277" s="210"/>
      <c r="EA277" s="210"/>
      <c r="EB277" s="210"/>
      <c r="EC277" s="210"/>
      <c r="ED277" s="210"/>
      <c r="EE277" s="210"/>
      <c r="EF277" s="210"/>
      <c r="EG277" s="210"/>
      <c r="EH277" s="210"/>
      <c r="EI277" s="210"/>
      <c r="EJ277" s="210"/>
      <c r="EK277" s="210"/>
      <c r="EL277" s="210"/>
      <c r="EM277" s="210"/>
      <c r="EN277" s="210"/>
      <c r="EO277" s="210"/>
      <c r="EP277" s="210"/>
      <c r="EQ277" s="210"/>
      <c r="ER277" s="210"/>
      <c r="ES277" s="210"/>
      <c r="ET277" s="210"/>
      <c r="EU277" s="210"/>
      <c r="EV277" s="210"/>
      <c r="EW277" s="210"/>
      <c r="EX277" s="210"/>
      <c r="EY277" s="210"/>
      <c r="EZ277" s="210"/>
      <c r="FA277" s="210"/>
      <c r="FB277" s="210"/>
      <c r="FC277" s="210"/>
      <c r="FD277" s="210"/>
      <c r="FE277" s="210"/>
      <c r="FF277" s="210"/>
      <c r="FG277" s="210"/>
      <c r="FH277" s="210"/>
      <c r="FI277" s="210"/>
      <c r="FJ277" s="210"/>
      <c r="FK277" s="210"/>
      <c r="FL277" s="210"/>
      <c r="FM277" s="210"/>
      <c r="FN277" s="210"/>
      <c r="FO277" s="210"/>
      <c r="FP277" s="210"/>
      <c r="FQ277" s="210"/>
      <c r="FR277" s="210"/>
      <c r="FS277" s="210"/>
      <c r="FT277" s="210"/>
      <c r="FU277" s="210"/>
      <c r="FV277" s="210"/>
      <c r="FW277" s="210"/>
      <c r="FX277" s="210"/>
      <c r="FY277" s="210"/>
      <c r="FZ277" s="210"/>
      <c r="GA277" s="210"/>
      <c r="GB277" s="210"/>
      <c r="GC277" s="210"/>
      <c r="GD277" s="210"/>
      <c r="GE277" s="210"/>
      <c r="GF277" s="210"/>
      <c r="GG277" s="210"/>
      <c r="GH277" s="210"/>
      <c r="GI277" s="210"/>
      <c r="GJ277" s="210"/>
      <c r="GK277" s="210"/>
      <c r="GL277" s="210"/>
      <c r="GM277" s="210"/>
      <c r="GN277" s="210"/>
      <c r="GO277" s="210"/>
      <c r="GP277" s="210"/>
      <c r="GQ277" s="210"/>
      <c r="GR277" s="210"/>
      <c r="GS277" s="210"/>
      <c r="GT277" s="210"/>
      <c r="GU277" s="210"/>
      <c r="GV277" s="210"/>
      <c r="GW277" s="210"/>
      <c r="GX277" s="210"/>
      <c r="GY277" s="210"/>
      <c r="GZ277" s="210"/>
      <c r="HA277" s="210"/>
      <c r="HB277" s="210"/>
      <c r="HC277" s="210"/>
      <c r="HD277" s="210"/>
      <c r="HE277" s="210"/>
      <c r="HF277" s="210"/>
      <c r="HG277" s="210"/>
      <c r="HH277" s="210"/>
      <c r="HI277" s="210"/>
      <c r="HJ277" s="210"/>
      <c r="HK277" s="210"/>
      <c r="HL277" s="210"/>
      <c r="HM277" s="210"/>
      <c r="HN277" s="210"/>
      <c r="HO277" s="210"/>
      <c r="HP277" s="210"/>
      <c r="HQ277" s="210"/>
      <c r="HR277" s="210"/>
      <c r="HS277" s="210"/>
      <c r="HT277" s="210"/>
      <c r="HU277" s="210"/>
      <c r="HV277" s="210"/>
      <c r="HW277" s="210"/>
      <c r="HX277" s="210"/>
      <c r="HY277" s="210"/>
      <c r="HZ277" s="210"/>
      <c r="IA277" s="210"/>
      <c r="IB277" s="210"/>
      <c r="IC277" s="210"/>
      <c r="ID277" s="210"/>
      <c r="IE277" s="210"/>
      <c r="IF277" s="210"/>
      <c r="IG277" s="210"/>
      <c r="IH277" s="210"/>
      <c r="II277" s="210"/>
      <c r="IJ277" s="210"/>
      <c r="IK277" s="210"/>
      <c r="IL277" s="210"/>
      <c r="IM277" s="210"/>
      <c r="IN277" s="210"/>
      <c r="IO277" s="210"/>
      <c r="IP277" s="210"/>
      <c r="IQ277" s="210"/>
      <c r="IR277" s="210"/>
      <c r="IS277" s="210"/>
      <c r="IT277" s="210"/>
      <c r="IU277" s="210"/>
      <c r="IV277" s="210"/>
      <c r="IW277" s="210"/>
    </row>
    <row r="278" spans="1:257" s="280" customFormat="1" ht="33">
      <c r="A278" s="246"/>
      <c r="B278" s="22" t="s">
        <v>141</v>
      </c>
      <c r="C278" s="23"/>
      <c r="D278" s="24"/>
      <c r="E278" s="25">
        <f>SUM(E279:E281)</f>
        <v>13297.925999999999</v>
      </c>
      <c r="F278" s="25">
        <f t="shared" ref="F278:N278" si="49">SUM(F279:F281)</f>
        <v>2200</v>
      </c>
      <c r="G278" s="25">
        <f t="shared" si="49"/>
        <v>1850</v>
      </c>
      <c r="H278" s="25">
        <f t="shared" si="49"/>
        <v>9247.9259999999995</v>
      </c>
      <c r="I278" s="25">
        <f t="shared" si="49"/>
        <v>10291.537</v>
      </c>
      <c r="J278" s="25">
        <f t="shared" si="49"/>
        <v>1608</v>
      </c>
      <c r="K278" s="25">
        <f t="shared" si="49"/>
        <v>10538.572</v>
      </c>
      <c r="L278" s="25">
        <f t="shared" si="49"/>
        <v>1608</v>
      </c>
      <c r="M278" s="25">
        <f t="shared" si="49"/>
        <v>1570</v>
      </c>
      <c r="N278" s="25">
        <f t="shared" si="49"/>
        <v>1608</v>
      </c>
      <c r="O278" s="211"/>
      <c r="P278" s="210"/>
      <c r="Q278" s="82"/>
      <c r="R278" s="82"/>
      <c r="S278" s="82"/>
      <c r="T278" s="82"/>
      <c r="U278" s="82"/>
      <c r="V278" s="82"/>
      <c r="W278" s="82"/>
      <c r="X278" s="82"/>
      <c r="Y278" s="82"/>
      <c r="Z278" s="82"/>
      <c r="AA278" s="210"/>
      <c r="AB278" s="210"/>
      <c r="AC278" s="210"/>
      <c r="AD278" s="210"/>
      <c r="AE278" s="210"/>
      <c r="AF278" s="210"/>
      <c r="AG278" s="210"/>
      <c r="AH278" s="210"/>
      <c r="AI278" s="210"/>
      <c r="AJ278" s="210"/>
      <c r="AK278" s="210"/>
      <c r="AL278" s="210"/>
      <c r="AM278" s="210"/>
      <c r="AN278" s="210"/>
      <c r="AO278" s="210"/>
      <c r="AP278" s="210"/>
      <c r="AQ278" s="210"/>
      <c r="AR278" s="210"/>
      <c r="AS278" s="210"/>
      <c r="AT278" s="210"/>
      <c r="AU278" s="210"/>
      <c r="AV278" s="210"/>
      <c r="AW278" s="210"/>
      <c r="AX278" s="210"/>
      <c r="AY278" s="210"/>
      <c r="AZ278" s="210"/>
      <c r="BA278" s="210"/>
      <c r="BB278" s="210"/>
      <c r="BC278" s="210"/>
      <c r="BD278" s="210"/>
      <c r="BE278" s="210"/>
      <c r="BF278" s="210"/>
      <c r="BG278" s="210"/>
      <c r="BH278" s="210"/>
      <c r="BI278" s="210"/>
      <c r="BJ278" s="210"/>
      <c r="BK278" s="210"/>
      <c r="BL278" s="210"/>
      <c r="BM278" s="210"/>
      <c r="BN278" s="210"/>
      <c r="BO278" s="210"/>
      <c r="BP278" s="210"/>
      <c r="BQ278" s="210"/>
      <c r="BR278" s="210"/>
      <c r="BS278" s="210"/>
      <c r="BT278" s="210"/>
      <c r="BU278" s="210"/>
      <c r="BV278" s="210"/>
      <c r="BW278" s="210"/>
      <c r="BX278" s="210"/>
      <c r="BY278" s="210"/>
      <c r="BZ278" s="210"/>
      <c r="CA278" s="210"/>
      <c r="CB278" s="210"/>
      <c r="CC278" s="210"/>
      <c r="CD278" s="210"/>
      <c r="CE278" s="210"/>
      <c r="CF278" s="210"/>
      <c r="CG278" s="210"/>
      <c r="CH278" s="210"/>
      <c r="CI278" s="210"/>
      <c r="CJ278" s="210"/>
      <c r="CK278" s="210"/>
      <c r="CL278" s="210"/>
      <c r="CM278" s="210"/>
      <c r="CN278" s="210"/>
      <c r="CO278" s="210"/>
      <c r="CP278" s="210"/>
      <c r="CQ278" s="210"/>
      <c r="CR278" s="210"/>
      <c r="CS278" s="210"/>
      <c r="CT278" s="210"/>
      <c r="CU278" s="210"/>
      <c r="CV278" s="210"/>
      <c r="CW278" s="210"/>
      <c r="CX278" s="210"/>
      <c r="CY278" s="210"/>
      <c r="CZ278" s="210"/>
      <c r="DA278" s="210"/>
      <c r="DB278" s="210"/>
      <c r="DC278" s="210"/>
      <c r="DD278" s="210"/>
      <c r="DE278" s="210"/>
      <c r="DF278" s="210"/>
      <c r="DG278" s="210"/>
      <c r="DH278" s="210"/>
      <c r="DI278" s="210"/>
      <c r="DJ278" s="210"/>
      <c r="DK278" s="210"/>
      <c r="DL278" s="210"/>
      <c r="DM278" s="210"/>
      <c r="DN278" s="210"/>
      <c r="DO278" s="210"/>
      <c r="DP278" s="210"/>
      <c r="DQ278" s="210"/>
      <c r="DR278" s="210"/>
      <c r="DS278" s="210"/>
      <c r="DT278" s="210"/>
      <c r="DU278" s="210"/>
      <c r="DV278" s="210"/>
      <c r="DW278" s="210"/>
      <c r="DX278" s="210"/>
      <c r="DY278" s="210"/>
      <c r="DZ278" s="210"/>
      <c r="EA278" s="210"/>
      <c r="EB278" s="210"/>
      <c r="EC278" s="210"/>
      <c r="ED278" s="210"/>
      <c r="EE278" s="210"/>
      <c r="EF278" s="210"/>
      <c r="EG278" s="210"/>
      <c r="EH278" s="210"/>
      <c r="EI278" s="210"/>
      <c r="EJ278" s="210"/>
      <c r="EK278" s="210"/>
      <c r="EL278" s="210"/>
      <c r="EM278" s="210"/>
      <c r="EN278" s="210"/>
      <c r="EO278" s="210"/>
      <c r="EP278" s="210"/>
      <c r="EQ278" s="210"/>
      <c r="ER278" s="210"/>
      <c r="ES278" s="210"/>
      <c r="ET278" s="210"/>
      <c r="EU278" s="210"/>
      <c r="EV278" s="210"/>
      <c r="EW278" s="210"/>
      <c r="EX278" s="210"/>
      <c r="EY278" s="210"/>
      <c r="EZ278" s="210"/>
      <c r="FA278" s="210"/>
      <c r="FB278" s="210"/>
      <c r="FC278" s="210"/>
      <c r="FD278" s="210"/>
      <c r="FE278" s="210"/>
      <c r="FF278" s="210"/>
      <c r="FG278" s="210"/>
      <c r="FH278" s="210"/>
      <c r="FI278" s="210"/>
      <c r="FJ278" s="210"/>
      <c r="FK278" s="210"/>
      <c r="FL278" s="210"/>
      <c r="FM278" s="210"/>
      <c r="FN278" s="210"/>
      <c r="FO278" s="210"/>
      <c r="FP278" s="210"/>
      <c r="FQ278" s="210"/>
      <c r="FR278" s="210"/>
      <c r="FS278" s="210"/>
      <c r="FT278" s="210"/>
      <c r="FU278" s="210"/>
      <c r="FV278" s="210"/>
      <c r="FW278" s="210"/>
      <c r="FX278" s="210"/>
      <c r="FY278" s="210"/>
      <c r="FZ278" s="210"/>
      <c r="GA278" s="210"/>
      <c r="GB278" s="210"/>
      <c r="GC278" s="210"/>
      <c r="GD278" s="210"/>
      <c r="GE278" s="210"/>
      <c r="GF278" s="210"/>
      <c r="GG278" s="210"/>
      <c r="GH278" s="210"/>
      <c r="GI278" s="210"/>
      <c r="GJ278" s="210"/>
      <c r="GK278" s="210"/>
      <c r="GL278" s="210"/>
      <c r="GM278" s="210"/>
      <c r="GN278" s="210"/>
      <c r="GO278" s="210"/>
      <c r="GP278" s="210"/>
      <c r="GQ278" s="210"/>
      <c r="GR278" s="210"/>
      <c r="GS278" s="210"/>
      <c r="GT278" s="210"/>
      <c r="GU278" s="210"/>
      <c r="GV278" s="210"/>
      <c r="GW278" s="210"/>
      <c r="GX278" s="210"/>
      <c r="GY278" s="210"/>
      <c r="GZ278" s="210"/>
      <c r="HA278" s="210"/>
      <c r="HB278" s="210"/>
      <c r="HC278" s="210"/>
      <c r="HD278" s="210"/>
      <c r="HE278" s="210"/>
      <c r="HF278" s="210"/>
      <c r="HG278" s="210"/>
      <c r="HH278" s="210"/>
      <c r="HI278" s="210"/>
      <c r="HJ278" s="210"/>
      <c r="HK278" s="210"/>
      <c r="HL278" s="210"/>
      <c r="HM278" s="210"/>
      <c r="HN278" s="210"/>
      <c r="HO278" s="210"/>
      <c r="HP278" s="210"/>
      <c r="HQ278" s="210"/>
      <c r="HR278" s="210"/>
      <c r="HS278" s="210"/>
      <c r="HT278" s="210"/>
      <c r="HU278" s="210"/>
      <c r="HV278" s="210"/>
      <c r="HW278" s="210"/>
      <c r="HX278" s="210"/>
      <c r="HY278" s="210"/>
      <c r="HZ278" s="210"/>
      <c r="IA278" s="210"/>
      <c r="IB278" s="210"/>
      <c r="IC278" s="210"/>
      <c r="ID278" s="210"/>
      <c r="IE278" s="210"/>
      <c r="IF278" s="210"/>
      <c r="IG278" s="210"/>
      <c r="IH278" s="210"/>
      <c r="II278" s="210"/>
      <c r="IJ278" s="210"/>
      <c r="IK278" s="210"/>
      <c r="IL278" s="210"/>
      <c r="IM278" s="210"/>
      <c r="IN278" s="210"/>
      <c r="IO278" s="210"/>
      <c r="IP278" s="210"/>
      <c r="IQ278" s="210"/>
      <c r="IR278" s="210"/>
      <c r="IS278" s="210"/>
      <c r="IT278" s="210"/>
      <c r="IU278" s="210"/>
      <c r="IV278" s="210"/>
      <c r="IW278" s="210"/>
    </row>
    <row r="279" spans="1:257" s="83" customFormat="1" ht="49.5">
      <c r="A279" s="46" t="s">
        <v>750</v>
      </c>
      <c r="B279" s="42" t="s">
        <v>751</v>
      </c>
      <c r="C279" s="46" t="s">
        <v>120</v>
      </c>
      <c r="D279" s="46" t="s">
        <v>752</v>
      </c>
      <c r="E279" s="54">
        <v>8946</v>
      </c>
      <c r="F279" s="46">
        <v>2000</v>
      </c>
      <c r="G279" s="44">
        <v>500</v>
      </c>
      <c r="H279" s="54">
        <f>+E279-F279-G279</f>
        <v>6446</v>
      </c>
      <c r="I279" s="33">
        <f>6434.817+38</f>
        <v>6472.817</v>
      </c>
      <c r="J279" s="33">
        <v>438</v>
      </c>
      <c r="K279" s="54">
        <v>6591.5720000000001</v>
      </c>
      <c r="L279" s="33">
        <f>+M279+38</f>
        <v>438</v>
      </c>
      <c r="M279" s="33">
        <v>400</v>
      </c>
      <c r="N279" s="33">
        <v>438</v>
      </c>
      <c r="O279" s="82"/>
      <c r="Q279" s="82"/>
      <c r="R279" s="82"/>
      <c r="S279" s="82"/>
      <c r="T279" s="82"/>
      <c r="U279" s="82"/>
      <c r="V279" s="82"/>
      <c r="W279" s="82"/>
      <c r="X279" s="82">
        <v>400</v>
      </c>
      <c r="Y279" s="82"/>
      <c r="Z279" s="82"/>
    </row>
    <row r="280" spans="1:257" s="83" customFormat="1" ht="49.5">
      <c r="A280" s="46" t="s">
        <v>750</v>
      </c>
      <c r="B280" s="42" t="s">
        <v>753</v>
      </c>
      <c r="C280" s="46" t="s">
        <v>120</v>
      </c>
      <c r="D280" s="46" t="s">
        <v>754</v>
      </c>
      <c r="E280" s="54">
        <v>3945.9259999999999</v>
      </c>
      <c r="F280" s="46">
        <v>200</v>
      </c>
      <c r="G280" s="44">
        <v>1000</v>
      </c>
      <c r="H280" s="54">
        <f>+E280-F280-G280</f>
        <v>2745.9259999999999</v>
      </c>
      <c r="I280" s="33">
        <v>3444.72</v>
      </c>
      <c r="J280" s="33">
        <v>820</v>
      </c>
      <c r="K280" s="54">
        <v>3597</v>
      </c>
      <c r="L280" s="33">
        <v>820</v>
      </c>
      <c r="M280" s="33">
        <v>820</v>
      </c>
      <c r="N280" s="33">
        <v>820</v>
      </c>
      <c r="O280" s="82"/>
      <c r="P280" s="83">
        <v>1</v>
      </c>
      <c r="Q280" s="82"/>
      <c r="R280" s="82"/>
      <c r="S280" s="82"/>
      <c r="T280" s="82"/>
      <c r="U280" s="82"/>
      <c r="V280" s="82"/>
      <c r="W280" s="82"/>
      <c r="X280" s="82">
        <v>700</v>
      </c>
      <c r="Y280" s="82"/>
      <c r="Z280" s="82"/>
    </row>
    <row r="281" spans="1:257" s="83" customFormat="1" ht="49.5">
      <c r="A281" s="46" t="s">
        <v>750</v>
      </c>
      <c r="B281" s="42" t="s">
        <v>755</v>
      </c>
      <c r="C281" s="46" t="s">
        <v>120</v>
      </c>
      <c r="D281" s="46" t="s">
        <v>627</v>
      </c>
      <c r="E281" s="54">
        <v>406</v>
      </c>
      <c r="F281" s="46">
        <v>0</v>
      </c>
      <c r="G281" s="44">
        <v>350</v>
      </c>
      <c r="H281" s="54">
        <f>+E281-F281-G281</f>
        <v>56</v>
      </c>
      <c r="I281" s="33">
        <v>374</v>
      </c>
      <c r="J281" s="33">
        <v>350</v>
      </c>
      <c r="K281" s="54">
        <v>350</v>
      </c>
      <c r="L281" s="33">
        <v>350</v>
      </c>
      <c r="M281" s="33">
        <v>350</v>
      </c>
      <c r="N281" s="33">
        <v>350</v>
      </c>
      <c r="O281" s="82"/>
      <c r="Q281" s="82"/>
      <c r="R281" s="82"/>
      <c r="S281" s="82"/>
      <c r="T281" s="82"/>
      <c r="U281" s="82"/>
      <c r="V281" s="82"/>
      <c r="W281" s="82"/>
      <c r="X281" s="82">
        <v>350</v>
      </c>
      <c r="Y281" s="82"/>
      <c r="Z281" s="82"/>
    </row>
    <row r="282" spans="1:257" s="280" customFormat="1" ht="33">
      <c r="A282" s="246"/>
      <c r="B282" s="22" t="s">
        <v>335</v>
      </c>
      <c r="C282" s="23"/>
      <c r="D282" s="24"/>
      <c r="E282" s="25">
        <f t="shared" ref="E282:N282" si="50">SUM(E283:E287)</f>
        <v>3768</v>
      </c>
      <c r="F282" s="25">
        <f t="shared" si="50"/>
        <v>400</v>
      </c>
      <c r="G282" s="25">
        <f t="shared" si="50"/>
        <v>2250</v>
      </c>
      <c r="H282" s="25">
        <f t="shared" si="50"/>
        <v>1118</v>
      </c>
      <c r="I282" s="25">
        <f t="shared" si="50"/>
        <v>3000</v>
      </c>
      <c r="J282" s="25">
        <f t="shared" si="50"/>
        <v>2380</v>
      </c>
      <c r="K282" s="25">
        <f t="shared" si="50"/>
        <v>3359</v>
      </c>
      <c r="L282" s="25">
        <f t="shared" si="50"/>
        <v>3000</v>
      </c>
      <c r="M282" s="25">
        <f t="shared" si="50"/>
        <v>2380</v>
      </c>
      <c r="N282" s="25">
        <f t="shared" si="50"/>
        <v>2380</v>
      </c>
      <c r="O282" s="211"/>
      <c r="P282" s="210"/>
      <c r="Q282" s="82"/>
      <c r="R282" s="82"/>
      <c r="S282" s="82"/>
      <c r="T282" s="82"/>
      <c r="U282" s="82"/>
      <c r="V282" s="82"/>
      <c r="W282" s="82"/>
      <c r="X282" s="82"/>
      <c r="Y282" s="82"/>
      <c r="Z282" s="82"/>
      <c r="AA282" s="210"/>
      <c r="AB282" s="210"/>
      <c r="AC282" s="210"/>
      <c r="AD282" s="210"/>
      <c r="AE282" s="210"/>
      <c r="AF282" s="210"/>
      <c r="AG282" s="210"/>
      <c r="AH282" s="210"/>
      <c r="AI282" s="210"/>
      <c r="AJ282" s="210"/>
      <c r="AK282" s="210"/>
      <c r="AL282" s="210"/>
      <c r="AM282" s="210"/>
      <c r="AN282" s="210"/>
      <c r="AO282" s="210"/>
      <c r="AP282" s="210"/>
      <c r="AQ282" s="210"/>
      <c r="AR282" s="210"/>
      <c r="AS282" s="210"/>
      <c r="AT282" s="210"/>
      <c r="AU282" s="210"/>
      <c r="AV282" s="210"/>
      <c r="AW282" s="210"/>
      <c r="AX282" s="210"/>
      <c r="AY282" s="210"/>
      <c r="AZ282" s="210"/>
      <c r="BA282" s="210"/>
      <c r="BB282" s="210"/>
      <c r="BC282" s="210"/>
      <c r="BD282" s="210"/>
      <c r="BE282" s="210"/>
      <c r="BF282" s="210"/>
      <c r="BG282" s="210"/>
      <c r="BH282" s="210"/>
      <c r="BI282" s="210"/>
      <c r="BJ282" s="210"/>
      <c r="BK282" s="210"/>
      <c r="BL282" s="210"/>
      <c r="BM282" s="210"/>
      <c r="BN282" s="210"/>
      <c r="BO282" s="210"/>
      <c r="BP282" s="210"/>
      <c r="BQ282" s="210"/>
      <c r="BR282" s="210"/>
      <c r="BS282" s="210"/>
      <c r="BT282" s="210"/>
      <c r="BU282" s="210"/>
      <c r="BV282" s="210"/>
      <c r="BW282" s="210"/>
      <c r="BX282" s="210"/>
      <c r="BY282" s="210"/>
      <c r="BZ282" s="210"/>
      <c r="CA282" s="210"/>
      <c r="CB282" s="210"/>
      <c r="CC282" s="210"/>
      <c r="CD282" s="210"/>
      <c r="CE282" s="210"/>
      <c r="CF282" s="210"/>
      <c r="CG282" s="210"/>
      <c r="CH282" s="210"/>
      <c r="CI282" s="210"/>
      <c r="CJ282" s="210"/>
      <c r="CK282" s="210"/>
      <c r="CL282" s="210"/>
      <c r="CM282" s="210"/>
      <c r="CN282" s="210"/>
      <c r="CO282" s="210"/>
      <c r="CP282" s="210"/>
      <c r="CQ282" s="210"/>
      <c r="CR282" s="210"/>
      <c r="CS282" s="210"/>
      <c r="CT282" s="210"/>
      <c r="CU282" s="210"/>
      <c r="CV282" s="210"/>
      <c r="CW282" s="210"/>
      <c r="CX282" s="210"/>
      <c r="CY282" s="210"/>
      <c r="CZ282" s="210"/>
      <c r="DA282" s="210"/>
      <c r="DB282" s="210"/>
      <c r="DC282" s="210"/>
      <c r="DD282" s="210"/>
      <c r="DE282" s="210"/>
      <c r="DF282" s="210"/>
      <c r="DG282" s="210"/>
      <c r="DH282" s="210"/>
      <c r="DI282" s="210"/>
      <c r="DJ282" s="210"/>
      <c r="DK282" s="210"/>
      <c r="DL282" s="210"/>
      <c r="DM282" s="210"/>
      <c r="DN282" s="210"/>
      <c r="DO282" s="210"/>
      <c r="DP282" s="210"/>
      <c r="DQ282" s="210"/>
      <c r="DR282" s="210"/>
      <c r="DS282" s="210"/>
      <c r="DT282" s="210"/>
      <c r="DU282" s="210"/>
      <c r="DV282" s="210"/>
      <c r="DW282" s="210"/>
      <c r="DX282" s="210"/>
      <c r="DY282" s="210"/>
      <c r="DZ282" s="210"/>
      <c r="EA282" s="210"/>
      <c r="EB282" s="210"/>
      <c r="EC282" s="210"/>
      <c r="ED282" s="210"/>
      <c r="EE282" s="210"/>
      <c r="EF282" s="210"/>
      <c r="EG282" s="210"/>
      <c r="EH282" s="210"/>
      <c r="EI282" s="210"/>
      <c r="EJ282" s="210"/>
      <c r="EK282" s="210"/>
      <c r="EL282" s="210"/>
      <c r="EM282" s="210"/>
      <c r="EN282" s="210"/>
      <c r="EO282" s="210"/>
      <c r="EP282" s="210"/>
      <c r="EQ282" s="210"/>
      <c r="ER282" s="210"/>
      <c r="ES282" s="210"/>
      <c r="ET282" s="210"/>
      <c r="EU282" s="210"/>
      <c r="EV282" s="210"/>
      <c r="EW282" s="210"/>
      <c r="EX282" s="210"/>
      <c r="EY282" s="210"/>
      <c r="EZ282" s="210"/>
      <c r="FA282" s="210"/>
      <c r="FB282" s="210"/>
      <c r="FC282" s="210"/>
      <c r="FD282" s="210"/>
      <c r="FE282" s="210"/>
      <c r="FF282" s="210"/>
      <c r="FG282" s="210"/>
      <c r="FH282" s="210"/>
      <c r="FI282" s="210"/>
      <c r="FJ282" s="210"/>
      <c r="FK282" s="210"/>
      <c r="FL282" s="210"/>
      <c r="FM282" s="210"/>
      <c r="FN282" s="210"/>
      <c r="FO282" s="210"/>
      <c r="FP282" s="210"/>
      <c r="FQ282" s="210"/>
      <c r="FR282" s="210"/>
      <c r="FS282" s="210"/>
      <c r="FT282" s="210"/>
      <c r="FU282" s="210"/>
      <c r="FV282" s="210"/>
      <c r="FW282" s="210"/>
      <c r="FX282" s="210"/>
      <c r="FY282" s="210"/>
      <c r="FZ282" s="210"/>
      <c r="GA282" s="210"/>
      <c r="GB282" s="210"/>
      <c r="GC282" s="210"/>
      <c r="GD282" s="210"/>
      <c r="GE282" s="210"/>
      <c r="GF282" s="210"/>
      <c r="GG282" s="210"/>
      <c r="GH282" s="210"/>
      <c r="GI282" s="210"/>
      <c r="GJ282" s="210"/>
      <c r="GK282" s="210"/>
      <c r="GL282" s="210"/>
      <c r="GM282" s="210"/>
      <c r="GN282" s="210"/>
      <c r="GO282" s="210"/>
      <c r="GP282" s="210"/>
      <c r="GQ282" s="210"/>
      <c r="GR282" s="210"/>
      <c r="GS282" s="210"/>
      <c r="GT282" s="210"/>
      <c r="GU282" s="210"/>
      <c r="GV282" s="210"/>
      <c r="GW282" s="210"/>
      <c r="GX282" s="210"/>
      <c r="GY282" s="210"/>
      <c r="GZ282" s="210"/>
      <c r="HA282" s="210"/>
      <c r="HB282" s="210"/>
      <c r="HC282" s="210"/>
      <c r="HD282" s="210"/>
      <c r="HE282" s="210"/>
      <c r="HF282" s="210"/>
      <c r="HG282" s="210"/>
      <c r="HH282" s="210"/>
      <c r="HI282" s="210"/>
      <c r="HJ282" s="210"/>
      <c r="HK282" s="210"/>
      <c r="HL282" s="210"/>
      <c r="HM282" s="210"/>
      <c r="HN282" s="210"/>
      <c r="HO282" s="210"/>
      <c r="HP282" s="210"/>
      <c r="HQ282" s="210"/>
      <c r="HR282" s="210"/>
      <c r="HS282" s="210"/>
      <c r="HT282" s="210"/>
      <c r="HU282" s="210"/>
      <c r="HV282" s="210"/>
      <c r="HW282" s="210"/>
      <c r="HX282" s="210"/>
      <c r="HY282" s="210"/>
      <c r="HZ282" s="210"/>
      <c r="IA282" s="210"/>
      <c r="IB282" s="210"/>
      <c r="IC282" s="210"/>
      <c r="ID282" s="210"/>
      <c r="IE282" s="210"/>
      <c r="IF282" s="210"/>
      <c r="IG282" s="210"/>
      <c r="IH282" s="210"/>
      <c r="II282" s="210"/>
      <c r="IJ282" s="210"/>
      <c r="IK282" s="210"/>
      <c r="IL282" s="210"/>
      <c r="IM282" s="210"/>
      <c r="IN282" s="210"/>
      <c r="IO282" s="210"/>
      <c r="IP282" s="210"/>
      <c r="IQ282" s="210"/>
      <c r="IR282" s="210"/>
      <c r="IS282" s="210"/>
      <c r="IT282" s="210"/>
      <c r="IU282" s="210"/>
      <c r="IV282" s="210"/>
      <c r="IW282" s="210"/>
    </row>
    <row r="283" spans="1:257" s="83" customFormat="1" ht="49.5">
      <c r="A283" s="46"/>
      <c r="B283" s="78" t="s">
        <v>620</v>
      </c>
      <c r="C283" s="46" t="s">
        <v>625</v>
      </c>
      <c r="D283" s="46" t="s">
        <v>626</v>
      </c>
      <c r="E283" s="54">
        <v>1162</v>
      </c>
      <c r="F283" s="46"/>
      <c r="G283" s="44">
        <v>750</v>
      </c>
      <c r="H283" s="54">
        <f>+E283-G283-F283</f>
        <v>412</v>
      </c>
      <c r="I283" s="54">
        <v>1005</v>
      </c>
      <c r="J283" s="33">
        <v>950</v>
      </c>
      <c r="K283" s="54">
        <v>1074</v>
      </c>
      <c r="L283" s="54">
        <v>1005</v>
      </c>
      <c r="M283" s="33">
        <v>950</v>
      </c>
      <c r="N283" s="33">
        <v>950</v>
      </c>
      <c r="O283" s="82"/>
      <c r="Q283" s="82"/>
      <c r="R283" s="82"/>
      <c r="S283" s="82"/>
      <c r="T283" s="82"/>
      <c r="U283" s="82"/>
      <c r="V283" s="82"/>
      <c r="W283" s="82"/>
      <c r="X283" s="82"/>
      <c r="Y283" s="82"/>
      <c r="Z283" s="82"/>
    </row>
    <row r="284" spans="1:257" s="83" customFormat="1" ht="49.5">
      <c r="A284" s="46"/>
      <c r="B284" s="78" t="s">
        <v>621</v>
      </c>
      <c r="C284" s="174" t="s">
        <v>625</v>
      </c>
      <c r="D284" s="46" t="s">
        <v>627</v>
      </c>
      <c r="E284" s="54">
        <v>406</v>
      </c>
      <c r="F284" s="46"/>
      <c r="G284" s="44">
        <v>750</v>
      </c>
      <c r="H284" s="54">
        <f>+E284-G284-F284</f>
        <v>-344</v>
      </c>
      <c r="I284" s="54">
        <v>350</v>
      </c>
      <c r="J284" s="33">
        <v>350</v>
      </c>
      <c r="K284" s="54">
        <v>374</v>
      </c>
      <c r="L284" s="54">
        <v>350</v>
      </c>
      <c r="M284" s="33">
        <v>350</v>
      </c>
      <c r="N284" s="33">
        <v>350</v>
      </c>
      <c r="O284" s="82"/>
      <c r="Q284" s="82"/>
      <c r="R284" s="82"/>
      <c r="S284" s="82"/>
      <c r="T284" s="82"/>
      <c r="U284" s="82"/>
      <c r="V284" s="82"/>
      <c r="W284" s="82"/>
      <c r="X284" s="82"/>
      <c r="Y284" s="82"/>
      <c r="Z284" s="82"/>
    </row>
    <row r="285" spans="1:257" s="83" customFormat="1" ht="49.5">
      <c r="A285" s="46"/>
      <c r="B285" s="78" t="s">
        <v>622</v>
      </c>
      <c r="C285" s="174" t="s">
        <v>186</v>
      </c>
      <c r="D285" s="46" t="s">
        <v>628</v>
      </c>
      <c r="E285" s="54">
        <v>841</v>
      </c>
      <c r="F285" s="46"/>
      <c r="G285" s="44">
        <v>750</v>
      </c>
      <c r="H285" s="54">
        <f>+E285-G285-F285</f>
        <v>91</v>
      </c>
      <c r="I285" s="54">
        <v>500</v>
      </c>
      <c r="J285" s="33">
        <v>500</v>
      </c>
      <c r="K285" s="54">
        <v>664</v>
      </c>
      <c r="L285" s="54">
        <v>500</v>
      </c>
      <c r="M285" s="33">
        <v>500</v>
      </c>
      <c r="N285" s="33">
        <v>500</v>
      </c>
      <c r="O285" s="82"/>
      <c r="Q285" s="82"/>
      <c r="R285" s="82"/>
      <c r="S285" s="82"/>
      <c r="T285" s="82"/>
      <c r="U285" s="82"/>
      <c r="V285" s="82"/>
      <c r="W285" s="82"/>
      <c r="X285" s="82"/>
      <c r="Y285" s="82"/>
      <c r="Z285" s="82"/>
    </row>
    <row r="286" spans="1:257" s="83" customFormat="1" ht="49.5">
      <c r="A286" s="114"/>
      <c r="B286" s="78" t="s">
        <v>623</v>
      </c>
      <c r="C286" s="175" t="s">
        <v>206</v>
      </c>
      <c r="D286" s="46" t="s">
        <v>629</v>
      </c>
      <c r="E286" s="91">
        <v>700</v>
      </c>
      <c r="F286" s="47">
        <v>400</v>
      </c>
      <c r="G286" s="164"/>
      <c r="H286" s="54">
        <f>+E286-G286-F286</f>
        <v>300</v>
      </c>
      <c r="I286" s="144">
        <v>530</v>
      </c>
      <c r="J286" s="113">
        <v>130</v>
      </c>
      <c r="K286" s="113">
        <v>632</v>
      </c>
      <c r="L286" s="144">
        <v>530</v>
      </c>
      <c r="M286" s="113">
        <v>130</v>
      </c>
      <c r="N286" s="113">
        <v>130</v>
      </c>
      <c r="O286" s="163"/>
      <c r="Q286" s="82"/>
      <c r="R286" s="82"/>
      <c r="S286" s="82"/>
      <c r="T286" s="82"/>
      <c r="U286" s="82"/>
      <c r="V286" s="82"/>
      <c r="W286" s="82"/>
      <c r="X286" s="82"/>
      <c r="Y286" s="82"/>
      <c r="Z286" s="82"/>
    </row>
    <row r="287" spans="1:257" s="83" customFormat="1" ht="49.5">
      <c r="A287" s="114"/>
      <c r="B287" s="78" t="s">
        <v>624</v>
      </c>
      <c r="C287" s="175" t="s">
        <v>246</v>
      </c>
      <c r="D287" s="46" t="s">
        <v>630</v>
      </c>
      <c r="E287" s="91">
        <v>659</v>
      </c>
      <c r="F287" s="47"/>
      <c r="G287" s="164"/>
      <c r="H287" s="54">
        <f>+E287-G287-F287</f>
        <v>659</v>
      </c>
      <c r="I287" s="144">
        <v>615</v>
      </c>
      <c r="J287" s="113">
        <v>450</v>
      </c>
      <c r="K287" s="113">
        <v>615</v>
      </c>
      <c r="L287" s="144">
        <v>615</v>
      </c>
      <c r="M287" s="113">
        <v>450</v>
      </c>
      <c r="N287" s="113">
        <v>450</v>
      </c>
      <c r="O287" s="163"/>
      <c r="Q287" s="82"/>
      <c r="R287" s="82"/>
      <c r="S287" s="82"/>
      <c r="T287" s="82"/>
      <c r="U287" s="82"/>
      <c r="V287" s="82"/>
      <c r="W287" s="82"/>
      <c r="X287" s="82"/>
      <c r="Y287" s="82"/>
      <c r="Z287" s="82"/>
    </row>
    <row r="288" spans="1:257" s="210" customFormat="1" ht="16.5">
      <c r="A288" s="167" t="s">
        <v>711</v>
      </c>
      <c r="B288" s="266" t="s">
        <v>665</v>
      </c>
      <c r="C288" s="23"/>
      <c r="D288" s="168"/>
      <c r="E288" s="169">
        <f>+E289+E290+E291</f>
        <v>33880.267</v>
      </c>
      <c r="F288" s="169">
        <f t="shared" ref="F288:N288" si="51">+F289+F290+F291</f>
        <v>4084</v>
      </c>
      <c r="G288" s="169">
        <f t="shared" si="51"/>
        <v>8640.7868999999992</v>
      </c>
      <c r="H288" s="169">
        <f t="shared" si="51"/>
        <v>22055.480100000001</v>
      </c>
      <c r="I288" s="169">
        <f t="shared" si="51"/>
        <v>27288.238000000001</v>
      </c>
      <c r="J288" s="169">
        <f t="shared" si="51"/>
        <v>9240.7868999999992</v>
      </c>
      <c r="K288" s="169">
        <f t="shared" si="51"/>
        <v>31524.066999999999</v>
      </c>
      <c r="L288" s="169">
        <f t="shared" si="51"/>
        <v>25441.438000000002</v>
      </c>
      <c r="M288" s="169">
        <f t="shared" si="51"/>
        <v>9169</v>
      </c>
      <c r="N288" s="169">
        <f t="shared" si="51"/>
        <v>9240.7868999999992</v>
      </c>
      <c r="O288" s="171"/>
      <c r="Q288" s="82"/>
      <c r="R288" s="82"/>
      <c r="S288" s="82"/>
      <c r="T288" s="82"/>
      <c r="U288" s="82"/>
      <c r="V288" s="82"/>
      <c r="W288" s="82"/>
      <c r="X288" s="82"/>
      <c r="Y288" s="82"/>
      <c r="Z288" s="82"/>
    </row>
    <row r="289" spans="1:257" s="280" customFormat="1" ht="49.5">
      <c r="A289" s="246"/>
      <c r="B289" s="73" t="s">
        <v>379</v>
      </c>
      <c r="C289" s="247"/>
      <c r="D289" s="247"/>
      <c r="E289" s="37"/>
      <c r="F289" s="37"/>
      <c r="G289" s="37"/>
      <c r="H289" s="37"/>
      <c r="I289" s="37"/>
      <c r="J289" s="37"/>
      <c r="K289" s="37"/>
      <c r="L289" s="37"/>
      <c r="M289" s="37"/>
      <c r="N289" s="37"/>
      <c r="O289" s="211"/>
      <c r="P289" s="210"/>
      <c r="Q289" s="82"/>
      <c r="R289" s="82"/>
      <c r="S289" s="82"/>
      <c r="T289" s="82"/>
      <c r="U289" s="82"/>
      <c r="V289" s="82"/>
      <c r="W289" s="82"/>
      <c r="X289" s="82"/>
      <c r="Y289" s="82"/>
      <c r="Z289" s="82"/>
      <c r="AA289" s="210"/>
      <c r="AB289" s="210"/>
      <c r="AC289" s="210"/>
      <c r="AD289" s="210"/>
      <c r="AE289" s="210"/>
      <c r="AF289" s="210"/>
      <c r="AG289" s="210"/>
      <c r="AH289" s="210"/>
      <c r="AI289" s="210"/>
      <c r="AJ289" s="210"/>
      <c r="AK289" s="210"/>
      <c r="AL289" s="210"/>
      <c r="AM289" s="210"/>
      <c r="AN289" s="210"/>
      <c r="AO289" s="210"/>
      <c r="AP289" s="210"/>
      <c r="AQ289" s="210"/>
      <c r="AR289" s="210"/>
      <c r="AS289" s="210"/>
      <c r="AT289" s="210"/>
      <c r="AU289" s="210"/>
      <c r="AV289" s="210"/>
      <c r="AW289" s="210"/>
      <c r="AX289" s="210"/>
      <c r="AY289" s="210"/>
      <c r="AZ289" s="210"/>
      <c r="BA289" s="210"/>
      <c r="BB289" s="210"/>
      <c r="BC289" s="210"/>
      <c r="BD289" s="210"/>
      <c r="BE289" s="210"/>
      <c r="BF289" s="210"/>
      <c r="BG289" s="210"/>
      <c r="BH289" s="210"/>
      <c r="BI289" s="210"/>
      <c r="BJ289" s="210"/>
      <c r="BK289" s="210"/>
      <c r="BL289" s="210"/>
      <c r="BM289" s="210"/>
      <c r="BN289" s="210"/>
      <c r="BO289" s="210"/>
      <c r="BP289" s="210"/>
      <c r="BQ289" s="210"/>
      <c r="BR289" s="210"/>
      <c r="BS289" s="210"/>
      <c r="BT289" s="210"/>
      <c r="BU289" s="210"/>
      <c r="BV289" s="210"/>
      <c r="BW289" s="210"/>
      <c r="BX289" s="210"/>
      <c r="BY289" s="210"/>
      <c r="BZ289" s="210"/>
      <c r="CA289" s="210"/>
      <c r="CB289" s="210"/>
      <c r="CC289" s="210"/>
      <c r="CD289" s="210"/>
      <c r="CE289" s="210"/>
      <c r="CF289" s="210"/>
      <c r="CG289" s="210"/>
      <c r="CH289" s="210"/>
      <c r="CI289" s="210"/>
      <c r="CJ289" s="210"/>
      <c r="CK289" s="210"/>
      <c r="CL289" s="210"/>
      <c r="CM289" s="210"/>
      <c r="CN289" s="210"/>
      <c r="CO289" s="210"/>
      <c r="CP289" s="210"/>
      <c r="CQ289" s="210"/>
      <c r="CR289" s="210"/>
      <c r="CS289" s="210"/>
      <c r="CT289" s="210"/>
      <c r="CU289" s="210"/>
      <c r="CV289" s="210"/>
      <c r="CW289" s="210"/>
      <c r="CX289" s="210"/>
      <c r="CY289" s="210"/>
      <c r="CZ289" s="210"/>
      <c r="DA289" s="210"/>
      <c r="DB289" s="210"/>
      <c r="DC289" s="210"/>
      <c r="DD289" s="210"/>
      <c r="DE289" s="210"/>
      <c r="DF289" s="210"/>
      <c r="DG289" s="210"/>
      <c r="DH289" s="210"/>
      <c r="DI289" s="210"/>
      <c r="DJ289" s="210"/>
      <c r="DK289" s="210"/>
      <c r="DL289" s="210"/>
      <c r="DM289" s="210"/>
      <c r="DN289" s="210"/>
      <c r="DO289" s="210"/>
      <c r="DP289" s="210"/>
      <c r="DQ289" s="210"/>
      <c r="DR289" s="210"/>
      <c r="DS289" s="210"/>
      <c r="DT289" s="210"/>
      <c r="DU289" s="210"/>
      <c r="DV289" s="210"/>
      <c r="DW289" s="210"/>
      <c r="DX289" s="210"/>
      <c r="DY289" s="210"/>
      <c r="DZ289" s="210"/>
      <c r="EA289" s="210"/>
      <c r="EB289" s="210"/>
      <c r="EC289" s="210"/>
      <c r="ED289" s="210"/>
      <c r="EE289" s="210"/>
      <c r="EF289" s="210"/>
      <c r="EG289" s="210"/>
      <c r="EH289" s="210"/>
      <c r="EI289" s="210"/>
      <c r="EJ289" s="210"/>
      <c r="EK289" s="210"/>
      <c r="EL289" s="210"/>
      <c r="EM289" s="210"/>
      <c r="EN289" s="210"/>
      <c r="EO289" s="210"/>
      <c r="EP289" s="210"/>
      <c r="EQ289" s="210"/>
      <c r="ER289" s="210"/>
      <c r="ES289" s="210"/>
      <c r="ET289" s="210"/>
      <c r="EU289" s="210"/>
      <c r="EV289" s="210"/>
      <c r="EW289" s="210"/>
      <c r="EX289" s="210"/>
      <c r="EY289" s="210"/>
      <c r="EZ289" s="210"/>
      <c r="FA289" s="210"/>
      <c r="FB289" s="210"/>
      <c r="FC289" s="210"/>
      <c r="FD289" s="210"/>
      <c r="FE289" s="210"/>
      <c r="FF289" s="210"/>
      <c r="FG289" s="210"/>
      <c r="FH289" s="210"/>
      <c r="FI289" s="210"/>
      <c r="FJ289" s="210"/>
      <c r="FK289" s="210"/>
      <c r="FL289" s="210"/>
      <c r="FM289" s="210"/>
      <c r="FN289" s="210"/>
      <c r="FO289" s="210"/>
      <c r="FP289" s="210"/>
      <c r="FQ289" s="210"/>
      <c r="FR289" s="210"/>
      <c r="FS289" s="210"/>
      <c r="FT289" s="210"/>
      <c r="FU289" s="210"/>
      <c r="FV289" s="210"/>
      <c r="FW289" s="210"/>
      <c r="FX289" s="210"/>
      <c r="FY289" s="210"/>
      <c r="FZ289" s="210"/>
      <c r="GA289" s="210"/>
      <c r="GB289" s="210"/>
      <c r="GC289" s="210"/>
      <c r="GD289" s="210"/>
      <c r="GE289" s="210"/>
      <c r="GF289" s="210"/>
      <c r="GG289" s="210"/>
      <c r="GH289" s="210"/>
      <c r="GI289" s="210"/>
      <c r="GJ289" s="210"/>
      <c r="GK289" s="210"/>
      <c r="GL289" s="210"/>
      <c r="GM289" s="210"/>
      <c r="GN289" s="210"/>
      <c r="GO289" s="210"/>
      <c r="GP289" s="210"/>
      <c r="GQ289" s="210"/>
      <c r="GR289" s="210"/>
      <c r="GS289" s="210"/>
      <c r="GT289" s="210"/>
      <c r="GU289" s="210"/>
      <c r="GV289" s="210"/>
      <c r="GW289" s="210"/>
      <c r="GX289" s="210"/>
      <c r="GY289" s="210"/>
      <c r="GZ289" s="210"/>
      <c r="HA289" s="210"/>
      <c r="HB289" s="210"/>
      <c r="HC289" s="210"/>
      <c r="HD289" s="210"/>
      <c r="HE289" s="210"/>
      <c r="HF289" s="210"/>
      <c r="HG289" s="210"/>
      <c r="HH289" s="210"/>
      <c r="HI289" s="210"/>
      <c r="HJ289" s="210"/>
      <c r="HK289" s="210"/>
      <c r="HL289" s="210"/>
      <c r="HM289" s="210"/>
      <c r="HN289" s="210"/>
      <c r="HO289" s="210"/>
      <c r="HP289" s="210"/>
      <c r="HQ289" s="210"/>
      <c r="HR289" s="210"/>
      <c r="HS289" s="210"/>
      <c r="HT289" s="210"/>
      <c r="HU289" s="210"/>
      <c r="HV289" s="210"/>
      <c r="HW289" s="210"/>
      <c r="HX289" s="210"/>
      <c r="HY289" s="210"/>
      <c r="HZ289" s="210"/>
      <c r="IA289" s="210"/>
      <c r="IB289" s="210"/>
      <c r="IC289" s="210"/>
      <c r="ID289" s="210"/>
      <c r="IE289" s="210"/>
      <c r="IF289" s="210"/>
      <c r="IG289" s="210"/>
      <c r="IH289" s="210"/>
      <c r="II289" s="210"/>
      <c r="IJ289" s="210"/>
      <c r="IK289" s="210"/>
      <c r="IL289" s="210"/>
      <c r="IM289" s="210"/>
      <c r="IN289" s="210"/>
      <c r="IO289" s="210"/>
      <c r="IP289" s="210"/>
      <c r="IQ289" s="210"/>
      <c r="IR289" s="210"/>
      <c r="IS289" s="210"/>
      <c r="IT289" s="210"/>
      <c r="IU289" s="210"/>
      <c r="IV289" s="210"/>
      <c r="IW289" s="210"/>
    </row>
    <row r="290" spans="1:257" s="280" customFormat="1" ht="33">
      <c r="A290" s="246"/>
      <c r="B290" s="22" t="s">
        <v>141</v>
      </c>
      <c r="C290" s="23"/>
      <c r="D290" s="24"/>
      <c r="E290" s="25"/>
      <c r="F290" s="25"/>
      <c r="G290" s="25"/>
      <c r="H290" s="25"/>
      <c r="I290" s="25"/>
      <c r="J290" s="25"/>
      <c r="K290" s="25"/>
      <c r="L290" s="25"/>
      <c r="M290" s="25"/>
      <c r="N290" s="25"/>
      <c r="O290" s="211"/>
      <c r="P290" s="210"/>
      <c r="Q290" s="82"/>
      <c r="R290" s="82"/>
      <c r="S290" s="82"/>
      <c r="T290" s="82"/>
      <c r="U290" s="82"/>
      <c r="V290" s="82"/>
      <c r="W290" s="82"/>
      <c r="X290" s="82"/>
      <c r="Y290" s="82"/>
      <c r="Z290" s="82"/>
      <c r="AA290" s="210"/>
      <c r="AB290" s="210"/>
      <c r="AC290" s="210"/>
      <c r="AD290" s="210"/>
      <c r="AE290" s="210"/>
      <c r="AF290" s="210"/>
      <c r="AG290" s="210"/>
      <c r="AH290" s="210"/>
      <c r="AI290" s="210"/>
      <c r="AJ290" s="210"/>
      <c r="AK290" s="210"/>
      <c r="AL290" s="210"/>
      <c r="AM290" s="210"/>
      <c r="AN290" s="210"/>
      <c r="AO290" s="210"/>
      <c r="AP290" s="210"/>
      <c r="AQ290" s="210"/>
      <c r="AR290" s="210"/>
      <c r="AS290" s="210"/>
      <c r="AT290" s="210"/>
      <c r="AU290" s="210"/>
      <c r="AV290" s="210"/>
      <c r="AW290" s="210"/>
      <c r="AX290" s="210"/>
      <c r="AY290" s="210"/>
      <c r="AZ290" s="210"/>
      <c r="BA290" s="210"/>
      <c r="BB290" s="210"/>
      <c r="BC290" s="210"/>
      <c r="BD290" s="210"/>
      <c r="BE290" s="210"/>
      <c r="BF290" s="210"/>
      <c r="BG290" s="210"/>
      <c r="BH290" s="210"/>
      <c r="BI290" s="210"/>
      <c r="BJ290" s="210"/>
      <c r="BK290" s="210"/>
      <c r="BL290" s="210"/>
      <c r="BM290" s="210"/>
      <c r="BN290" s="210"/>
      <c r="BO290" s="210"/>
      <c r="BP290" s="210"/>
      <c r="BQ290" s="210"/>
      <c r="BR290" s="210"/>
      <c r="BS290" s="210"/>
      <c r="BT290" s="210"/>
      <c r="BU290" s="210"/>
      <c r="BV290" s="210"/>
      <c r="BW290" s="210"/>
      <c r="BX290" s="210"/>
      <c r="BY290" s="210"/>
      <c r="BZ290" s="210"/>
      <c r="CA290" s="210"/>
      <c r="CB290" s="210"/>
      <c r="CC290" s="210"/>
      <c r="CD290" s="210"/>
      <c r="CE290" s="210"/>
      <c r="CF290" s="210"/>
      <c r="CG290" s="210"/>
      <c r="CH290" s="210"/>
      <c r="CI290" s="210"/>
      <c r="CJ290" s="210"/>
      <c r="CK290" s="210"/>
      <c r="CL290" s="210"/>
      <c r="CM290" s="210"/>
      <c r="CN290" s="210"/>
      <c r="CO290" s="210"/>
      <c r="CP290" s="210"/>
      <c r="CQ290" s="210"/>
      <c r="CR290" s="210"/>
      <c r="CS290" s="210"/>
      <c r="CT290" s="210"/>
      <c r="CU290" s="210"/>
      <c r="CV290" s="210"/>
      <c r="CW290" s="210"/>
      <c r="CX290" s="210"/>
      <c r="CY290" s="210"/>
      <c r="CZ290" s="210"/>
      <c r="DA290" s="210"/>
      <c r="DB290" s="210"/>
      <c r="DC290" s="210"/>
      <c r="DD290" s="210"/>
      <c r="DE290" s="210"/>
      <c r="DF290" s="210"/>
      <c r="DG290" s="210"/>
      <c r="DH290" s="210"/>
      <c r="DI290" s="210"/>
      <c r="DJ290" s="210"/>
      <c r="DK290" s="210"/>
      <c r="DL290" s="210"/>
      <c r="DM290" s="210"/>
      <c r="DN290" s="210"/>
      <c r="DO290" s="210"/>
      <c r="DP290" s="210"/>
      <c r="DQ290" s="210"/>
      <c r="DR290" s="210"/>
      <c r="DS290" s="210"/>
      <c r="DT290" s="210"/>
      <c r="DU290" s="210"/>
      <c r="DV290" s="210"/>
      <c r="DW290" s="210"/>
      <c r="DX290" s="210"/>
      <c r="DY290" s="210"/>
      <c r="DZ290" s="210"/>
      <c r="EA290" s="210"/>
      <c r="EB290" s="210"/>
      <c r="EC290" s="210"/>
      <c r="ED290" s="210"/>
      <c r="EE290" s="210"/>
      <c r="EF290" s="210"/>
      <c r="EG290" s="210"/>
      <c r="EH290" s="210"/>
      <c r="EI290" s="210"/>
      <c r="EJ290" s="210"/>
      <c r="EK290" s="210"/>
      <c r="EL290" s="210"/>
      <c r="EM290" s="210"/>
      <c r="EN290" s="210"/>
      <c r="EO290" s="210"/>
      <c r="EP290" s="210"/>
      <c r="EQ290" s="210"/>
      <c r="ER290" s="210"/>
      <c r="ES290" s="210"/>
      <c r="ET290" s="210"/>
      <c r="EU290" s="210"/>
      <c r="EV290" s="210"/>
      <c r="EW290" s="210"/>
      <c r="EX290" s="210"/>
      <c r="EY290" s="210"/>
      <c r="EZ290" s="210"/>
      <c r="FA290" s="210"/>
      <c r="FB290" s="210"/>
      <c r="FC290" s="210"/>
      <c r="FD290" s="210"/>
      <c r="FE290" s="210"/>
      <c r="FF290" s="210"/>
      <c r="FG290" s="210"/>
      <c r="FH290" s="210"/>
      <c r="FI290" s="210"/>
      <c r="FJ290" s="210"/>
      <c r="FK290" s="210"/>
      <c r="FL290" s="210"/>
      <c r="FM290" s="210"/>
      <c r="FN290" s="210"/>
      <c r="FO290" s="210"/>
      <c r="FP290" s="210"/>
      <c r="FQ290" s="210"/>
      <c r="FR290" s="210"/>
      <c r="FS290" s="210"/>
      <c r="FT290" s="210"/>
      <c r="FU290" s="210"/>
      <c r="FV290" s="210"/>
      <c r="FW290" s="210"/>
      <c r="FX290" s="210"/>
      <c r="FY290" s="210"/>
      <c r="FZ290" s="210"/>
      <c r="GA290" s="210"/>
      <c r="GB290" s="210"/>
      <c r="GC290" s="210"/>
      <c r="GD290" s="210"/>
      <c r="GE290" s="210"/>
      <c r="GF290" s="210"/>
      <c r="GG290" s="210"/>
      <c r="GH290" s="210"/>
      <c r="GI290" s="210"/>
      <c r="GJ290" s="210"/>
      <c r="GK290" s="210"/>
      <c r="GL290" s="210"/>
      <c r="GM290" s="210"/>
      <c r="GN290" s="210"/>
      <c r="GO290" s="210"/>
      <c r="GP290" s="210"/>
      <c r="GQ290" s="210"/>
      <c r="GR290" s="210"/>
      <c r="GS290" s="210"/>
      <c r="GT290" s="210"/>
      <c r="GU290" s="210"/>
      <c r="GV290" s="210"/>
      <c r="GW290" s="210"/>
      <c r="GX290" s="210"/>
      <c r="GY290" s="210"/>
      <c r="GZ290" s="210"/>
      <c r="HA290" s="210"/>
      <c r="HB290" s="210"/>
      <c r="HC290" s="210"/>
      <c r="HD290" s="210"/>
      <c r="HE290" s="210"/>
      <c r="HF290" s="210"/>
      <c r="HG290" s="210"/>
      <c r="HH290" s="210"/>
      <c r="HI290" s="210"/>
      <c r="HJ290" s="210"/>
      <c r="HK290" s="210"/>
      <c r="HL290" s="210"/>
      <c r="HM290" s="210"/>
      <c r="HN290" s="210"/>
      <c r="HO290" s="210"/>
      <c r="HP290" s="210"/>
      <c r="HQ290" s="210"/>
      <c r="HR290" s="210"/>
      <c r="HS290" s="210"/>
      <c r="HT290" s="210"/>
      <c r="HU290" s="210"/>
      <c r="HV290" s="210"/>
      <c r="HW290" s="210"/>
      <c r="HX290" s="210"/>
      <c r="HY290" s="210"/>
      <c r="HZ290" s="210"/>
      <c r="IA290" s="210"/>
      <c r="IB290" s="210"/>
      <c r="IC290" s="210"/>
      <c r="ID290" s="210"/>
      <c r="IE290" s="210"/>
      <c r="IF290" s="210"/>
      <c r="IG290" s="210"/>
      <c r="IH290" s="210"/>
      <c r="II290" s="210"/>
      <c r="IJ290" s="210"/>
      <c r="IK290" s="210"/>
      <c r="IL290" s="210"/>
      <c r="IM290" s="210"/>
      <c r="IN290" s="210"/>
      <c r="IO290" s="210"/>
      <c r="IP290" s="210"/>
      <c r="IQ290" s="210"/>
      <c r="IR290" s="210"/>
      <c r="IS290" s="210"/>
      <c r="IT290" s="210"/>
      <c r="IU290" s="210"/>
      <c r="IV290" s="210"/>
      <c r="IW290" s="210"/>
    </row>
    <row r="291" spans="1:257" s="280" customFormat="1" ht="33">
      <c r="A291" s="246"/>
      <c r="B291" s="22" t="s">
        <v>335</v>
      </c>
      <c r="C291" s="23"/>
      <c r="D291" s="24"/>
      <c r="E291" s="25">
        <f>SUM(E292:E302)</f>
        <v>33880.267</v>
      </c>
      <c r="F291" s="25">
        <f t="shared" ref="F291:N291" si="52">SUM(F292:F302)</f>
        <v>4084</v>
      </c>
      <c r="G291" s="25">
        <f t="shared" si="52"/>
        <v>8640.7868999999992</v>
      </c>
      <c r="H291" s="25">
        <f t="shared" si="52"/>
        <v>22055.480100000001</v>
      </c>
      <c r="I291" s="25">
        <f t="shared" si="52"/>
        <v>27288.238000000001</v>
      </c>
      <c r="J291" s="25">
        <f t="shared" si="52"/>
        <v>9240.7868999999992</v>
      </c>
      <c r="K291" s="25">
        <f t="shared" si="52"/>
        <v>31524.066999999999</v>
      </c>
      <c r="L291" s="25">
        <f t="shared" si="52"/>
        <v>25441.438000000002</v>
      </c>
      <c r="M291" s="25">
        <f t="shared" si="52"/>
        <v>9169</v>
      </c>
      <c r="N291" s="25">
        <f t="shared" si="52"/>
        <v>9240.7868999999992</v>
      </c>
      <c r="O291" s="211"/>
      <c r="P291" s="210"/>
      <c r="Q291" s="82"/>
      <c r="R291" s="82"/>
      <c r="S291" s="82"/>
      <c r="T291" s="82"/>
      <c r="U291" s="82"/>
      <c r="V291" s="82"/>
      <c r="W291" s="82"/>
      <c r="X291" s="82"/>
      <c r="Y291" s="82"/>
      <c r="Z291" s="82"/>
      <c r="AA291" s="210"/>
      <c r="AB291" s="210"/>
      <c r="AC291" s="210"/>
      <c r="AD291" s="210"/>
      <c r="AE291" s="210"/>
      <c r="AF291" s="210"/>
      <c r="AG291" s="210"/>
      <c r="AH291" s="210"/>
      <c r="AI291" s="210"/>
      <c r="AJ291" s="210"/>
      <c r="AK291" s="210"/>
      <c r="AL291" s="210"/>
      <c r="AM291" s="210"/>
      <c r="AN291" s="210"/>
      <c r="AO291" s="210"/>
      <c r="AP291" s="210"/>
      <c r="AQ291" s="210"/>
      <c r="AR291" s="210"/>
      <c r="AS291" s="210"/>
      <c r="AT291" s="210"/>
      <c r="AU291" s="210"/>
      <c r="AV291" s="210"/>
      <c r="AW291" s="210"/>
      <c r="AX291" s="210"/>
      <c r="AY291" s="210"/>
      <c r="AZ291" s="210"/>
      <c r="BA291" s="210"/>
      <c r="BB291" s="210"/>
      <c r="BC291" s="210"/>
      <c r="BD291" s="210"/>
      <c r="BE291" s="210"/>
      <c r="BF291" s="210"/>
      <c r="BG291" s="210"/>
      <c r="BH291" s="210"/>
      <c r="BI291" s="210"/>
      <c r="BJ291" s="210"/>
      <c r="BK291" s="210"/>
      <c r="BL291" s="210"/>
      <c r="BM291" s="210"/>
      <c r="BN291" s="210"/>
      <c r="BO291" s="210"/>
      <c r="BP291" s="210"/>
      <c r="BQ291" s="210"/>
      <c r="BR291" s="210"/>
      <c r="BS291" s="210"/>
      <c r="BT291" s="210"/>
      <c r="BU291" s="210"/>
      <c r="BV291" s="210"/>
      <c r="BW291" s="210"/>
      <c r="BX291" s="210"/>
      <c r="BY291" s="210"/>
      <c r="BZ291" s="210"/>
      <c r="CA291" s="210"/>
      <c r="CB291" s="210"/>
      <c r="CC291" s="210"/>
      <c r="CD291" s="210"/>
      <c r="CE291" s="210"/>
      <c r="CF291" s="210"/>
      <c r="CG291" s="210"/>
      <c r="CH291" s="210"/>
      <c r="CI291" s="210"/>
      <c r="CJ291" s="210"/>
      <c r="CK291" s="210"/>
      <c r="CL291" s="210"/>
      <c r="CM291" s="210"/>
      <c r="CN291" s="210"/>
      <c r="CO291" s="210"/>
      <c r="CP291" s="210"/>
      <c r="CQ291" s="210"/>
      <c r="CR291" s="210"/>
      <c r="CS291" s="210"/>
      <c r="CT291" s="210"/>
      <c r="CU291" s="210"/>
      <c r="CV291" s="210"/>
      <c r="CW291" s="210"/>
      <c r="CX291" s="210"/>
      <c r="CY291" s="210"/>
      <c r="CZ291" s="210"/>
      <c r="DA291" s="210"/>
      <c r="DB291" s="210"/>
      <c r="DC291" s="210"/>
      <c r="DD291" s="210"/>
      <c r="DE291" s="210"/>
      <c r="DF291" s="210"/>
      <c r="DG291" s="210"/>
      <c r="DH291" s="210"/>
      <c r="DI291" s="210"/>
      <c r="DJ291" s="210"/>
      <c r="DK291" s="210"/>
      <c r="DL291" s="210"/>
      <c r="DM291" s="210"/>
      <c r="DN291" s="210"/>
      <c r="DO291" s="210"/>
      <c r="DP291" s="210"/>
      <c r="DQ291" s="210"/>
      <c r="DR291" s="210"/>
      <c r="DS291" s="210"/>
      <c r="DT291" s="210"/>
      <c r="DU291" s="210"/>
      <c r="DV291" s="210"/>
      <c r="DW291" s="210"/>
      <c r="DX291" s="210"/>
      <c r="DY291" s="210"/>
      <c r="DZ291" s="210"/>
      <c r="EA291" s="210"/>
      <c r="EB291" s="210"/>
      <c r="EC291" s="210"/>
      <c r="ED291" s="210"/>
      <c r="EE291" s="210"/>
      <c r="EF291" s="210"/>
      <c r="EG291" s="210"/>
      <c r="EH291" s="210"/>
      <c r="EI291" s="210"/>
      <c r="EJ291" s="210"/>
      <c r="EK291" s="210"/>
      <c r="EL291" s="210"/>
      <c r="EM291" s="210"/>
      <c r="EN291" s="210"/>
      <c r="EO291" s="210"/>
      <c r="EP291" s="210"/>
      <c r="EQ291" s="210"/>
      <c r="ER291" s="210"/>
      <c r="ES291" s="210"/>
      <c r="ET291" s="210"/>
      <c r="EU291" s="210"/>
      <c r="EV291" s="210"/>
      <c r="EW291" s="210"/>
      <c r="EX291" s="210"/>
      <c r="EY291" s="210"/>
      <c r="EZ291" s="210"/>
      <c r="FA291" s="210"/>
      <c r="FB291" s="210"/>
      <c r="FC291" s="210"/>
      <c r="FD291" s="210"/>
      <c r="FE291" s="210"/>
      <c r="FF291" s="210"/>
      <c r="FG291" s="210"/>
      <c r="FH291" s="210"/>
      <c r="FI291" s="210"/>
      <c r="FJ291" s="210"/>
      <c r="FK291" s="210"/>
      <c r="FL291" s="210"/>
      <c r="FM291" s="210"/>
      <c r="FN291" s="210"/>
      <c r="FO291" s="210"/>
      <c r="FP291" s="210"/>
      <c r="FQ291" s="210"/>
      <c r="FR291" s="210"/>
      <c r="FS291" s="210"/>
      <c r="FT291" s="210"/>
      <c r="FU291" s="210"/>
      <c r="FV291" s="210"/>
      <c r="FW291" s="210"/>
      <c r="FX291" s="210"/>
      <c r="FY291" s="210"/>
      <c r="FZ291" s="210"/>
      <c r="GA291" s="210"/>
      <c r="GB291" s="210"/>
      <c r="GC291" s="210"/>
      <c r="GD291" s="210"/>
      <c r="GE291" s="210"/>
      <c r="GF291" s="210"/>
      <c r="GG291" s="210"/>
      <c r="GH291" s="210"/>
      <c r="GI291" s="210"/>
      <c r="GJ291" s="210"/>
      <c r="GK291" s="210"/>
      <c r="GL291" s="210"/>
      <c r="GM291" s="210"/>
      <c r="GN291" s="210"/>
      <c r="GO291" s="210"/>
      <c r="GP291" s="210"/>
      <c r="GQ291" s="210"/>
      <c r="GR291" s="210"/>
      <c r="GS291" s="210"/>
      <c r="GT291" s="210"/>
      <c r="GU291" s="210"/>
      <c r="GV291" s="210"/>
      <c r="GW291" s="210"/>
      <c r="GX291" s="210"/>
      <c r="GY291" s="210"/>
      <c r="GZ291" s="210"/>
      <c r="HA291" s="210"/>
      <c r="HB291" s="210"/>
      <c r="HC291" s="210"/>
      <c r="HD291" s="210"/>
      <c r="HE291" s="210"/>
      <c r="HF291" s="210"/>
      <c r="HG291" s="210"/>
      <c r="HH291" s="210"/>
      <c r="HI291" s="210"/>
      <c r="HJ291" s="210"/>
      <c r="HK291" s="210"/>
      <c r="HL291" s="210"/>
      <c r="HM291" s="210"/>
      <c r="HN291" s="210"/>
      <c r="HO291" s="210"/>
      <c r="HP291" s="210"/>
      <c r="HQ291" s="210"/>
      <c r="HR291" s="210"/>
      <c r="HS291" s="210"/>
      <c r="HT291" s="210"/>
      <c r="HU291" s="210"/>
      <c r="HV291" s="210"/>
      <c r="HW291" s="210"/>
      <c r="HX291" s="210"/>
      <c r="HY291" s="210"/>
      <c r="HZ291" s="210"/>
      <c r="IA291" s="210"/>
      <c r="IB291" s="210"/>
      <c r="IC291" s="210"/>
      <c r="ID291" s="210"/>
      <c r="IE291" s="210"/>
      <c r="IF291" s="210"/>
      <c r="IG291" s="210"/>
      <c r="IH291" s="210"/>
      <c r="II291" s="210"/>
      <c r="IJ291" s="210"/>
      <c r="IK291" s="210"/>
      <c r="IL291" s="210"/>
      <c r="IM291" s="210"/>
      <c r="IN291" s="210"/>
      <c r="IO291" s="210"/>
      <c r="IP291" s="210"/>
      <c r="IQ291" s="210"/>
      <c r="IR291" s="210"/>
      <c r="IS291" s="210"/>
      <c r="IT291" s="210"/>
      <c r="IU291" s="210"/>
      <c r="IV291" s="210"/>
      <c r="IW291" s="210"/>
    </row>
    <row r="292" spans="1:257" s="83" customFormat="1" ht="66">
      <c r="A292" s="57">
        <v>1</v>
      </c>
      <c r="B292" s="58" t="s">
        <v>632</v>
      </c>
      <c r="C292" s="46" t="s">
        <v>633</v>
      </c>
      <c r="D292" s="46" t="s">
        <v>634</v>
      </c>
      <c r="E292" s="59">
        <v>2379</v>
      </c>
      <c r="F292" s="60">
        <v>900</v>
      </c>
      <c r="G292" s="33">
        <v>263</v>
      </c>
      <c r="H292" s="61">
        <f t="shared" ref="H292:H300" si="53">E292-F292-G292</f>
        <v>1216</v>
      </c>
      <c r="I292" s="33">
        <v>2162</v>
      </c>
      <c r="J292" s="33">
        <v>263</v>
      </c>
      <c r="K292" s="33">
        <f>I292</f>
        <v>2162</v>
      </c>
      <c r="L292" s="33">
        <f>979+900+263+20</f>
        <v>2162</v>
      </c>
      <c r="M292" s="33">
        <v>263</v>
      </c>
      <c r="N292" s="33">
        <v>263</v>
      </c>
      <c r="O292" s="82"/>
      <c r="Q292" s="82"/>
      <c r="R292" s="82"/>
      <c r="S292" s="82"/>
      <c r="T292" s="82"/>
      <c r="U292" s="82"/>
      <c r="V292" s="82"/>
      <c r="W292" s="82"/>
      <c r="X292" s="82"/>
      <c r="Y292" s="82"/>
      <c r="Z292" s="82"/>
    </row>
    <row r="293" spans="1:257" s="83" customFormat="1" ht="66">
      <c r="A293" s="57">
        <v>2</v>
      </c>
      <c r="B293" s="42" t="s">
        <v>635</v>
      </c>
      <c r="C293" s="62" t="s">
        <v>636</v>
      </c>
      <c r="D293" s="44" t="s">
        <v>637</v>
      </c>
      <c r="E293" s="40">
        <v>2011</v>
      </c>
      <c r="F293" s="60">
        <v>506</v>
      </c>
      <c r="G293" s="33">
        <v>306</v>
      </c>
      <c r="H293" s="40">
        <f t="shared" si="53"/>
        <v>1199</v>
      </c>
      <c r="I293" s="33">
        <v>1900</v>
      </c>
      <c r="J293" s="33">
        <v>306</v>
      </c>
      <c r="K293" s="33">
        <v>1900</v>
      </c>
      <c r="L293" s="33">
        <v>1811</v>
      </c>
      <c r="M293" s="33">
        <v>306</v>
      </c>
      <c r="N293" s="33">
        <v>306</v>
      </c>
      <c r="O293" s="82"/>
      <c r="P293" s="83">
        <v>1</v>
      </c>
      <c r="Q293" s="82"/>
      <c r="R293" s="82"/>
      <c r="S293" s="82"/>
      <c r="T293" s="82"/>
      <c r="U293" s="82"/>
      <c r="V293" s="82"/>
      <c r="W293" s="82"/>
      <c r="X293" s="82"/>
      <c r="Y293" s="82"/>
      <c r="Z293" s="82"/>
    </row>
    <row r="294" spans="1:257" s="83" customFormat="1" ht="66">
      <c r="A294" s="57">
        <v>3</v>
      </c>
      <c r="B294" s="42" t="s">
        <v>638</v>
      </c>
      <c r="C294" s="62" t="s">
        <v>639</v>
      </c>
      <c r="D294" s="44" t="s">
        <v>640</v>
      </c>
      <c r="E294" s="40">
        <v>3703</v>
      </c>
      <c r="F294" s="60"/>
      <c r="G294" s="33">
        <v>500</v>
      </c>
      <c r="H294" s="40">
        <f t="shared" si="53"/>
        <v>3203</v>
      </c>
      <c r="I294" s="33">
        <v>2626</v>
      </c>
      <c r="J294" s="33">
        <v>500</v>
      </c>
      <c r="K294" s="33">
        <v>3427</v>
      </c>
      <c r="L294" s="33">
        <f>K294</f>
        <v>3427</v>
      </c>
      <c r="M294" s="33">
        <v>500</v>
      </c>
      <c r="N294" s="33">
        <v>500</v>
      </c>
      <c r="O294" s="82"/>
      <c r="P294" s="83">
        <v>1</v>
      </c>
      <c r="Q294" s="82"/>
      <c r="R294" s="82"/>
      <c r="S294" s="82"/>
      <c r="T294" s="82"/>
      <c r="U294" s="82"/>
      <c r="V294" s="82"/>
      <c r="W294" s="82"/>
      <c r="X294" s="82">
        <v>500</v>
      </c>
      <c r="Y294" s="82"/>
      <c r="Z294" s="82"/>
    </row>
    <row r="295" spans="1:257" s="83" customFormat="1" ht="66">
      <c r="A295" s="57">
        <v>4</v>
      </c>
      <c r="B295" s="42" t="s">
        <v>641</v>
      </c>
      <c r="C295" s="62" t="s">
        <v>642</v>
      </c>
      <c r="D295" s="44" t="s">
        <v>643</v>
      </c>
      <c r="E295" s="40">
        <v>3719</v>
      </c>
      <c r="F295" s="60"/>
      <c r="G295" s="33">
        <v>700</v>
      </c>
      <c r="H295" s="40">
        <f t="shared" si="53"/>
        <v>3019</v>
      </c>
      <c r="I295" s="33">
        <v>3512</v>
      </c>
      <c r="J295" s="33">
        <v>700</v>
      </c>
      <c r="K295" s="33">
        <v>3512</v>
      </c>
      <c r="L295" s="33">
        <v>3062</v>
      </c>
      <c r="M295" s="33">
        <v>700</v>
      </c>
      <c r="N295" s="33">
        <v>700</v>
      </c>
      <c r="O295" s="82"/>
      <c r="P295" s="83">
        <v>1</v>
      </c>
      <c r="Q295" s="82"/>
      <c r="R295" s="82"/>
      <c r="S295" s="82"/>
      <c r="T295" s="82"/>
      <c r="U295" s="82"/>
      <c r="V295" s="82"/>
      <c r="W295" s="82"/>
      <c r="X295" s="82">
        <v>700</v>
      </c>
      <c r="Y295" s="82"/>
      <c r="Z295" s="82"/>
    </row>
    <row r="296" spans="1:257" s="83" customFormat="1" ht="82.5">
      <c r="A296" s="57">
        <v>5</v>
      </c>
      <c r="B296" s="42" t="s">
        <v>644</v>
      </c>
      <c r="C296" s="62" t="s">
        <v>645</v>
      </c>
      <c r="D296" s="44" t="s">
        <v>646</v>
      </c>
      <c r="E296" s="63">
        <v>2456</v>
      </c>
      <c r="F296" s="60"/>
      <c r="G296" s="33">
        <v>900</v>
      </c>
      <c r="H296" s="63">
        <f t="shared" si="53"/>
        <v>1556</v>
      </c>
      <c r="I296" s="33">
        <v>1134</v>
      </c>
      <c r="J296" s="33">
        <v>900</v>
      </c>
      <c r="K296" s="33">
        <v>2200</v>
      </c>
      <c r="L296" s="33">
        <v>2034</v>
      </c>
      <c r="M296" s="33">
        <v>900</v>
      </c>
      <c r="N296" s="33">
        <v>900</v>
      </c>
      <c r="O296" s="82"/>
      <c r="P296" s="83">
        <v>1</v>
      </c>
      <c r="Q296" s="82"/>
      <c r="R296" s="82"/>
      <c r="S296" s="82"/>
      <c r="T296" s="82"/>
      <c r="U296" s="82"/>
      <c r="V296" s="82"/>
      <c r="W296" s="82"/>
      <c r="X296" s="82"/>
      <c r="Y296" s="82"/>
      <c r="Z296" s="82"/>
    </row>
    <row r="297" spans="1:257" s="83" customFormat="1" ht="66">
      <c r="A297" s="57">
        <v>6</v>
      </c>
      <c r="B297" s="42" t="s">
        <v>647</v>
      </c>
      <c r="C297" s="62" t="s">
        <v>648</v>
      </c>
      <c r="D297" s="44" t="s">
        <v>649</v>
      </c>
      <c r="E297" s="40">
        <v>3757</v>
      </c>
      <c r="F297" s="60">
        <f>350+200</f>
        <v>550</v>
      </c>
      <c r="G297" s="33">
        <v>700</v>
      </c>
      <c r="H297" s="40">
        <f t="shared" si="53"/>
        <v>2507</v>
      </c>
      <c r="I297" s="33">
        <v>3456</v>
      </c>
      <c r="J297" s="33">
        <v>1300</v>
      </c>
      <c r="K297" s="33">
        <v>3456</v>
      </c>
      <c r="L297" s="33">
        <v>2521.4670000000001</v>
      </c>
      <c r="M297" s="33">
        <v>1300</v>
      </c>
      <c r="N297" s="33">
        <f>800+500</f>
        <v>1300</v>
      </c>
      <c r="O297" s="82"/>
      <c r="P297" s="83">
        <v>1</v>
      </c>
      <c r="Q297" s="82"/>
      <c r="R297" s="82"/>
      <c r="S297" s="82"/>
      <c r="T297" s="82"/>
      <c r="U297" s="82"/>
      <c r="V297" s="82"/>
      <c r="W297" s="82"/>
      <c r="X297" s="82">
        <f>500+800</f>
        <v>1300</v>
      </c>
      <c r="Y297" s="82"/>
      <c r="Z297" s="82"/>
    </row>
    <row r="298" spans="1:257" s="83" customFormat="1" ht="82.5">
      <c r="A298" s="57">
        <v>7</v>
      </c>
      <c r="B298" s="42" t="s">
        <v>650</v>
      </c>
      <c r="C298" s="62" t="s">
        <v>651</v>
      </c>
      <c r="D298" s="44" t="s">
        <v>652</v>
      </c>
      <c r="E298" s="40">
        <v>4298</v>
      </c>
      <c r="F298" s="60">
        <v>300</v>
      </c>
      <c r="G298" s="33">
        <f>800+500</f>
        <v>1300</v>
      </c>
      <c r="H298" s="40">
        <f t="shared" si="53"/>
        <v>2698</v>
      </c>
      <c r="I298" s="33">
        <v>3280</v>
      </c>
      <c r="J298" s="33">
        <v>1300</v>
      </c>
      <c r="K298" s="33">
        <v>4065</v>
      </c>
      <c r="L298" s="33">
        <v>3280</v>
      </c>
      <c r="M298" s="33">
        <v>1300</v>
      </c>
      <c r="N298" s="33">
        <f>600+700</f>
        <v>1300</v>
      </c>
      <c r="O298" s="82"/>
      <c r="P298" s="83">
        <v>1</v>
      </c>
      <c r="Q298" s="82"/>
      <c r="R298" s="82"/>
      <c r="S298" s="82"/>
      <c r="T298" s="82"/>
      <c r="U298" s="82"/>
      <c r="V298" s="82"/>
      <c r="W298" s="82"/>
      <c r="X298" s="82">
        <v>700</v>
      </c>
      <c r="Y298" s="82"/>
      <c r="Z298" s="82"/>
    </row>
    <row r="299" spans="1:257" s="83" customFormat="1" ht="82.5">
      <c r="A299" s="57">
        <v>8</v>
      </c>
      <c r="B299" s="42" t="s">
        <v>653</v>
      </c>
      <c r="C299" s="62" t="s">
        <v>654</v>
      </c>
      <c r="D299" s="44" t="s">
        <v>655</v>
      </c>
      <c r="E299" s="40">
        <v>4410</v>
      </c>
      <c r="F299" s="40">
        <v>1346</v>
      </c>
      <c r="G299" s="33">
        <v>1000</v>
      </c>
      <c r="H299" s="40">
        <f t="shared" si="53"/>
        <v>2064</v>
      </c>
      <c r="I299" s="33">
        <v>3877</v>
      </c>
      <c r="J299" s="33">
        <v>1000</v>
      </c>
      <c r="K299" s="33">
        <v>3877</v>
      </c>
      <c r="L299" s="33">
        <v>3877</v>
      </c>
      <c r="M299" s="33">
        <v>1000</v>
      </c>
      <c r="N299" s="33">
        <v>1000</v>
      </c>
      <c r="O299" s="82"/>
      <c r="P299" s="83">
        <v>1</v>
      </c>
      <c r="Q299" s="82"/>
      <c r="R299" s="82"/>
      <c r="S299" s="82"/>
      <c r="T299" s="82"/>
      <c r="U299" s="82"/>
      <c r="V299" s="82"/>
      <c r="W299" s="82"/>
      <c r="X299" s="82">
        <v>1000</v>
      </c>
      <c r="Y299" s="82"/>
      <c r="Z299" s="82"/>
    </row>
    <row r="300" spans="1:257" s="83" customFormat="1" ht="82.5">
      <c r="A300" s="57">
        <v>9</v>
      </c>
      <c r="B300" s="42" t="s">
        <v>656</v>
      </c>
      <c r="C300" s="62" t="s">
        <v>657</v>
      </c>
      <c r="D300" s="44" t="s">
        <v>658</v>
      </c>
      <c r="E300" s="40">
        <v>1990</v>
      </c>
      <c r="F300" s="60">
        <v>82</v>
      </c>
      <c r="G300" s="33">
        <v>800</v>
      </c>
      <c r="H300" s="40">
        <f t="shared" si="53"/>
        <v>1108</v>
      </c>
      <c r="I300" s="33">
        <v>1403.971</v>
      </c>
      <c r="J300" s="33">
        <v>800</v>
      </c>
      <c r="K300" s="33">
        <v>1802</v>
      </c>
      <c r="L300" s="33">
        <v>1403.971</v>
      </c>
      <c r="M300" s="33">
        <v>800</v>
      </c>
      <c r="N300" s="33">
        <v>800</v>
      </c>
      <c r="O300" s="82"/>
      <c r="P300" s="83">
        <v>1</v>
      </c>
      <c r="Q300" s="82"/>
      <c r="R300" s="82"/>
      <c r="S300" s="82"/>
      <c r="T300" s="82"/>
      <c r="U300" s="82"/>
      <c r="V300" s="82"/>
      <c r="W300" s="82"/>
      <c r="X300" s="82">
        <v>800</v>
      </c>
      <c r="Y300" s="82"/>
      <c r="Z300" s="82"/>
    </row>
    <row r="301" spans="1:257" s="83" customFormat="1" ht="66">
      <c r="A301" s="57">
        <v>10</v>
      </c>
      <c r="B301" s="42" t="s">
        <v>659</v>
      </c>
      <c r="C301" s="62" t="s">
        <v>660</v>
      </c>
      <c r="D301" s="44" t="s">
        <v>661</v>
      </c>
      <c r="E301" s="40">
        <v>2769</v>
      </c>
      <c r="F301" s="60">
        <v>400</v>
      </c>
      <c r="G301" s="33">
        <v>500</v>
      </c>
      <c r="H301" s="40">
        <v>2769</v>
      </c>
      <c r="I301" s="33">
        <v>1549</v>
      </c>
      <c r="J301" s="33">
        <v>500</v>
      </c>
      <c r="K301" s="33">
        <v>2734.8</v>
      </c>
      <c r="L301" s="33">
        <v>1549</v>
      </c>
      <c r="M301" s="33">
        <v>500</v>
      </c>
      <c r="N301" s="33">
        <v>500</v>
      </c>
      <c r="O301" s="82"/>
      <c r="Q301" s="82"/>
      <c r="R301" s="82"/>
      <c r="S301" s="82"/>
      <c r="T301" s="82"/>
      <c r="U301" s="82"/>
      <c r="V301" s="82"/>
      <c r="W301" s="82"/>
      <c r="X301" s="82"/>
      <c r="Y301" s="82"/>
      <c r="Z301" s="82"/>
    </row>
    <row r="302" spans="1:257" s="83" customFormat="1" ht="99">
      <c r="A302" s="57">
        <v>11</v>
      </c>
      <c r="B302" s="42" t="s">
        <v>662</v>
      </c>
      <c r="C302" s="62" t="s">
        <v>663</v>
      </c>
      <c r="D302" s="44" t="s">
        <v>664</v>
      </c>
      <c r="E302" s="40">
        <v>2388.2669999999998</v>
      </c>
      <c r="F302" s="60"/>
      <c r="G302" s="33">
        <f>E302*70%</f>
        <v>1671.7868999999998</v>
      </c>
      <c r="H302" s="40">
        <f>E302-G302</f>
        <v>716.48009999999999</v>
      </c>
      <c r="I302" s="33">
        <f>E302</f>
        <v>2388.2669999999998</v>
      </c>
      <c r="J302" s="33">
        <v>1671.7868999999998</v>
      </c>
      <c r="K302" s="33">
        <f>E302</f>
        <v>2388.2669999999998</v>
      </c>
      <c r="L302" s="239">
        <v>314</v>
      </c>
      <c r="M302" s="33">
        <v>1600</v>
      </c>
      <c r="N302" s="33">
        <v>1671.7868999999998</v>
      </c>
      <c r="O302" s="82"/>
      <c r="Q302" s="82"/>
      <c r="R302" s="82"/>
      <c r="S302" s="82"/>
      <c r="T302" s="82"/>
      <c r="U302" s="82"/>
      <c r="V302" s="82"/>
      <c r="W302" s="82"/>
      <c r="X302" s="82"/>
      <c r="Y302" s="82"/>
      <c r="Z302" s="82"/>
    </row>
    <row r="303" spans="1:257" s="281" customFormat="1" ht="17.25">
      <c r="A303" s="246" t="s">
        <v>742</v>
      </c>
      <c r="B303" s="81" t="s">
        <v>666</v>
      </c>
      <c r="C303" s="247"/>
      <c r="D303" s="247"/>
      <c r="E303" s="37">
        <f>E306</f>
        <v>26448.400000000001</v>
      </c>
      <c r="F303" s="37">
        <f t="shared" ref="F303:O303" si="54">F306</f>
        <v>0</v>
      </c>
      <c r="G303" s="37">
        <f t="shared" si="54"/>
        <v>9285</v>
      </c>
      <c r="H303" s="37">
        <f t="shared" si="54"/>
        <v>17163.400000000001</v>
      </c>
      <c r="I303" s="37">
        <f t="shared" si="54"/>
        <v>22354</v>
      </c>
      <c r="J303" s="37">
        <f t="shared" si="54"/>
        <v>11332</v>
      </c>
      <c r="K303" s="37">
        <f t="shared" si="54"/>
        <v>23385</v>
      </c>
      <c r="L303" s="37">
        <f t="shared" si="54"/>
        <v>9285</v>
      </c>
      <c r="M303" s="37">
        <f t="shared" si="54"/>
        <v>11332</v>
      </c>
      <c r="N303" s="37">
        <f t="shared" si="54"/>
        <v>11332</v>
      </c>
      <c r="O303" s="37">
        <f t="shared" si="54"/>
        <v>0</v>
      </c>
      <c r="Q303" s="283"/>
      <c r="R303" s="283"/>
      <c r="S303" s="283"/>
      <c r="T303" s="283"/>
      <c r="U303" s="283"/>
      <c r="V303" s="283"/>
      <c r="W303" s="283"/>
      <c r="X303" s="283"/>
      <c r="Y303" s="283"/>
      <c r="Z303" s="283"/>
    </row>
    <row r="304" spans="1:257" s="280" customFormat="1" ht="49.5">
      <c r="A304" s="246"/>
      <c r="B304" s="73" t="s">
        <v>379</v>
      </c>
      <c r="C304" s="247"/>
      <c r="D304" s="247"/>
      <c r="E304" s="37"/>
      <c r="F304" s="37"/>
      <c r="G304" s="37"/>
      <c r="H304" s="37"/>
      <c r="I304" s="37"/>
      <c r="J304" s="37"/>
      <c r="K304" s="37"/>
      <c r="L304" s="37"/>
      <c r="M304" s="37"/>
      <c r="N304" s="37"/>
      <c r="O304" s="211"/>
      <c r="Q304" s="283"/>
      <c r="R304" s="283"/>
      <c r="S304" s="283"/>
      <c r="T304" s="283"/>
      <c r="U304" s="283"/>
      <c r="V304" s="283"/>
      <c r="W304" s="283"/>
      <c r="X304" s="283"/>
      <c r="Y304" s="283"/>
      <c r="Z304" s="283"/>
    </row>
    <row r="305" spans="1:26" s="280" customFormat="1" ht="33">
      <c r="A305" s="246"/>
      <c r="B305" s="22" t="s">
        <v>141</v>
      </c>
      <c r="C305" s="23"/>
      <c r="D305" s="24"/>
      <c r="E305" s="25"/>
      <c r="F305" s="25"/>
      <c r="G305" s="25"/>
      <c r="H305" s="25"/>
      <c r="I305" s="25"/>
      <c r="J305" s="25"/>
      <c r="K305" s="25"/>
      <c r="L305" s="25"/>
      <c r="M305" s="25"/>
      <c r="N305" s="25"/>
      <c r="O305" s="211"/>
      <c r="Q305" s="283"/>
      <c r="R305" s="283"/>
      <c r="S305" s="283"/>
      <c r="T305" s="283"/>
      <c r="U305" s="283"/>
      <c r="V305" s="283"/>
      <c r="W305" s="283"/>
      <c r="X305" s="283"/>
      <c r="Y305" s="283"/>
      <c r="Z305" s="283"/>
    </row>
    <row r="306" spans="1:26" s="280" customFormat="1" ht="33">
      <c r="A306" s="246"/>
      <c r="B306" s="22" t="s">
        <v>335</v>
      </c>
      <c r="C306" s="23"/>
      <c r="D306" s="24"/>
      <c r="E306" s="25">
        <f t="shared" ref="E306:N306" si="55">SUM(E307:E335)</f>
        <v>26448.400000000001</v>
      </c>
      <c r="F306" s="25">
        <f t="shared" si="55"/>
        <v>0</v>
      </c>
      <c r="G306" s="25">
        <f t="shared" si="55"/>
        <v>9285</v>
      </c>
      <c r="H306" s="25">
        <f t="shared" si="55"/>
        <v>17163.400000000001</v>
      </c>
      <c r="I306" s="25">
        <f t="shared" si="55"/>
        <v>22354</v>
      </c>
      <c r="J306" s="25">
        <f t="shared" si="55"/>
        <v>11332</v>
      </c>
      <c r="K306" s="25">
        <f t="shared" si="55"/>
        <v>23385</v>
      </c>
      <c r="L306" s="25">
        <f t="shared" si="55"/>
        <v>9285</v>
      </c>
      <c r="M306" s="25">
        <f t="shared" si="55"/>
        <v>11332</v>
      </c>
      <c r="N306" s="25">
        <f t="shared" si="55"/>
        <v>11332</v>
      </c>
      <c r="O306" s="25">
        <f>SUM(O307:O328)</f>
        <v>0</v>
      </c>
      <c r="Q306" s="283"/>
      <c r="R306" s="283"/>
      <c r="S306" s="283"/>
      <c r="T306" s="283"/>
      <c r="U306" s="283"/>
      <c r="V306" s="283"/>
      <c r="W306" s="283"/>
      <c r="X306" s="283"/>
      <c r="Y306" s="283"/>
      <c r="Z306" s="283"/>
    </row>
    <row r="307" spans="1:26" s="280" customFormat="1" ht="66">
      <c r="A307" s="176">
        <v>1</v>
      </c>
      <c r="B307" s="177" t="s">
        <v>667</v>
      </c>
      <c r="C307" s="178">
        <v>2016</v>
      </c>
      <c r="D307" s="179" t="s">
        <v>668</v>
      </c>
      <c r="E307" s="180">
        <v>1856</v>
      </c>
      <c r="F307" s="284"/>
      <c r="G307" s="181">
        <v>300</v>
      </c>
      <c r="H307" s="182">
        <f t="shared" ref="H307:H317" si="56">+E307-F307-G307</f>
        <v>1556</v>
      </c>
      <c r="I307" s="181">
        <v>1534</v>
      </c>
      <c r="J307" s="181">
        <v>300</v>
      </c>
      <c r="K307" s="181">
        <v>1545</v>
      </c>
      <c r="L307" s="181">
        <v>300</v>
      </c>
      <c r="M307" s="181">
        <v>300</v>
      </c>
      <c r="N307" s="181">
        <v>300</v>
      </c>
      <c r="O307" s="211"/>
      <c r="P307" s="280">
        <v>1</v>
      </c>
      <c r="Q307" s="283"/>
      <c r="R307" s="283"/>
      <c r="S307" s="283"/>
      <c r="T307" s="283"/>
      <c r="U307" s="283"/>
      <c r="V307" s="283"/>
      <c r="W307" s="283"/>
      <c r="X307" s="283"/>
      <c r="Y307" s="283"/>
      <c r="Z307" s="283"/>
    </row>
    <row r="308" spans="1:26" s="280" customFormat="1" ht="66">
      <c r="A308" s="176">
        <v>2</v>
      </c>
      <c r="B308" s="177" t="s">
        <v>669</v>
      </c>
      <c r="C308" s="178">
        <v>2017</v>
      </c>
      <c r="D308" s="179" t="s">
        <v>670</v>
      </c>
      <c r="E308" s="180">
        <v>1496</v>
      </c>
      <c r="F308" s="284"/>
      <c r="G308" s="181">
        <v>132</v>
      </c>
      <c r="H308" s="182">
        <f t="shared" si="56"/>
        <v>1364</v>
      </c>
      <c r="I308" s="181">
        <v>1030</v>
      </c>
      <c r="J308" s="181">
        <v>132</v>
      </c>
      <c r="K308" s="181">
        <v>1240</v>
      </c>
      <c r="L308" s="181">
        <v>132</v>
      </c>
      <c r="M308" s="181">
        <v>132</v>
      </c>
      <c r="N308" s="181">
        <v>132</v>
      </c>
      <c r="O308" s="211"/>
      <c r="P308" s="280">
        <v>1</v>
      </c>
      <c r="Q308" s="283"/>
      <c r="R308" s="283"/>
      <c r="S308" s="283"/>
      <c r="T308" s="283"/>
      <c r="U308" s="283"/>
      <c r="V308" s="283"/>
      <c r="W308" s="283"/>
      <c r="X308" s="283"/>
      <c r="Y308" s="283"/>
      <c r="Z308" s="283"/>
    </row>
    <row r="309" spans="1:26" s="280" customFormat="1" ht="66">
      <c r="A309" s="176">
        <v>3</v>
      </c>
      <c r="B309" s="177" t="s">
        <v>671</v>
      </c>
      <c r="C309" s="183" t="s">
        <v>672</v>
      </c>
      <c r="D309" s="184" t="s">
        <v>673</v>
      </c>
      <c r="E309" s="185">
        <v>2674</v>
      </c>
      <c r="F309" s="284"/>
      <c r="G309" s="181">
        <v>500</v>
      </c>
      <c r="H309" s="182">
        <f t="shared" si="56"/>
        <v>2174</v>
      </c>
      <c r="I309" s="181">
        <v>1920</v>
      </c>
      <c r="J309" s="181">
        <v>500</v>
      </c>
      <c r="K309" s="181">
        <v>2008</v>
      </c>
      <c r="L309" s="181">
        <v>500</v>
      </c>
      <c r="M309" s="181">
        <v>500</v>
      </c>
      <c r="N309" s="181">
        <v>500</v>
      </c>
      <c r="O309" s="211"/>
      <c r="P309" s="280">
        <v>1</v>
      </c>
      <c r="Q309" s="283"/>
      <c r="R309" s="283"/>
      <c r="S309" s="283"/>
      <c r="T309" s="283"/>
      <c r="U309" s="283"/>
      <c r="V309" s="283"/>
      <c r="W309" s="283"/>
      <c r="X309" s="283"/>
      <c r="Y309" s="283"/>
      <c r="Z309" s="283"/>
    </row>
    <row r="310" spans="1:26" s="280" customFormat="1" ht="66">
      <c r="A310" s="176">
        <v>4</v>
      </c>
      <c r="B310" s="177" t="s">
        <v>674</v>
      </c>
      <c r="C310" s="183" t="s">
        <v>672</v>
      </c>
      <c r="D310" s="184" t="s">
        <v>673</v>
      </c>
      <c r="E310" s="185">
        <v>2673.6</v>
      </c>
      <c r="F310" s="284"/>
      <c r="G310" s="181">
        <v>200</v>
      </c>
      <c r="H310" s="182">
        <f t="shared" si="56"/>
        <v>2473.6</v>
      </c>
      <c r="I310" s="181">
        <v>2450</v>
      </c>
      <c r="J310" s="181">
        <v>200</v>
      </c>
      <c r="K310" s="181">
        <v>2682</v>
      </c>
      <c r="L310" s="181">
        <v>200</v>
      </c>
      <c r="M310" s="181">
        <v>200</v>
      </c>
      <c r="N310" s="181">
        <v>200</v>
      </c>
      <c r="O310" s="211"/>
      <c r="Q310" s="283"/>
      <c r="R310" s="283"/>
      <c r="S310" s="283"/>
      <c r="T310" s="283"/>
      <c r="U310" s="283"/>
      <c r="V310" s="283"/>
      <c r="W310" s="283"/>
      <c r="X310" s="283"/>
      <c r="Y310" s="283"/>
      <c r="Z310" s="283"/>
    </row>
    <row r="311" spans="1:26" s="280" customFormat="1" ht="66">
      <c r="A311" s="176">
        <v>6</v>
      </c>
      <c r="B311" s="184" t="s">
        <v>675</v>
      </c>
      <c r="C311" s="186" t="s">
        <v>676</v>
      </c>
      <c r="D311" s="184" t="s">
        <v>677</v>
      </c>
      <c r="E311" s="185">
        <v>2364</v>
      </c>
      <c r="F311" s="284"/>
      <c r="G311" s="181">
        <v>700</v>
      </c>
      <c r="H311" s="182">
        <f t="shared" si="56"/>
        <v>1664</v>
      </c>
      <c r="I311" s="181">
        <v>2164</v>
      </c>
      <c r="J311" s="181">
        <v>700</v>
      </c>
      <c r="K311" s="181">
        <v>2307</v>
      </c>
      <c r="L311" s="181">
        <v>700</v>
      </c>
      <c r="M311" s="181">
        <v>700</v>
      </c>
      <c r="N311" s="181">
        <v>700</v>
      </c>
      <c r="O311" s="211"/>
      <c r="P311" s="280">
        <v>1</v>
      </c>
      <c r="Q311" s="283"/>
      <c r="R311" s="283"/>
      <c r="S311" s="283"/>
      <c r="T311" s="283"/>
      <c r="U311" s="283"/>
      <c r="V311" s="283"/>
      <c r="W311" s="283"/>
      <c r="X311" s="283"/>
      <c r="Y311" s="283"/>
      <c r="Z311" s="283"/>
    </row>
    <row r="312" spans="1:26" s="280" customFormat="1" ht="66">
      <c r="A312" s="176">
        <v>7</v>
      </c>
      <c r="B312" s="184" t="s">
        <v>678</v>
      </c>
      <c r="C312" s="183" t="s">
        <v>679</v>
      </c>
      <c r="D312" s="179" t="s">
        <v>680</v>
      </c>
      <c r="E312" s="185">
        <v>1143</v>
      </c>
      <c r="F312" s="284"/>
      <c r="G312" s="181">
        <v>700</v>
      </c>
      <c r="H312" s="182">
        <f t="shared" si="56"/>
        <v>443</v>
      </c>
      <c r="I312" s="181">
        <v>976</v>
      </c>
      <c r="J312" s="181">
        <v>700</v>
      </c>
      <c r="K312" s="181">
        <v>1012</v>
      </c>
      <c r="L312" s="181">
        <v>700</v>
      </c>
      <c r="M312" s="181">
        <v>700</v>
      </c>
      <c r="N312" s="181">
        <v>700</v>
      </c>
      <c r="O312" s="211"/>
      <c r="Q312" s="283"/>
      <c r="R312" s="283"/>
      <c r="S312" s="283"/>
      <c r="T312" s="283"/>
      <c r="U312" s="283"/>
      <c r="V312" s="283"/>
      <c r="W312" s="283"/>
      <c r="X312" s="283"/>
      <c r="Y312" s="283"/>
      <c r="Z312" s="283"/>
    </row>
    <row r="313" spans="1:26" s="280" customFormat="1" ht="49.5">
      <c r="A313" s="176">
        <v>8</v>
      </c>
      <c r="B313" s="184" t="s">
        <v>681</v>
      </c>
      <c r="C313" s="183" t="s">
        <v>682</v>
      </c>
      <c r="D313" s="179" t="s">
        <v>683</v>
      </c>
      <c r="E313" s="185">
        <v>737</v>
      </c>
      <c r="F313" s="284"/>
      <c r="G313" s="181">
        <v>335</v>
      </c>
      <c r="H313" s="182">
        <f t="shared" si="56"/>
        <v>402</v>
      </c>
      <c r="I313" s="181">
        <f>585+135</f>
        <v>720</v>
      </c>
      <c r="J313" s="181">
        <v>335</v>
      </c>
      <c r="K313" s="181">
        <v>737</v>
      </c>
      <c r="L313" s="181">
        <v>335</v>
      </c>
      <c r="M313" s="181">
        <v>335</v>
      </c>
      <c r="N313" s="181">
        <v>335</v>
      </c>
      <c r="O313" s="211"/>
      <c r="Q313" s="283"/>
      <c r="R313" s="283"/>
      <c r="S313" s="283"/>
      <c r="T313" s="283"/>
      <c r="U313" s="283"/>
      <c r="V313" s="283"/>
      <c r="W313" s="283"/>
      <c r="X313" s="283"/>
      <c r="Y313" s="283"/>
      <c r="Z313" s="283"/>
    </row>
    <row r="314" spans="1:26" s="280" customFormat="1" ht="49.5">
      <c r="A314" s="176">
        <v>9</v>
      </c>
      <c r="B314" s="184" t="s">
        <v>684</v>
      </c>
      <c r="C314" s="183" t="s">
        <v>682</v>
      </c>
      <c r="D314" s="179" t="s">
        <v>683</v>
      </c>
      <c r="E314" s="185">
        <v>485</v>
      </c>
      <c r="F314" s="284"/>
      <c r="G314" s="181">
        <v>200</v>
      </c>
      <c r="H314" s="182">
        <f t="shared" si="56"/>
        <v>285</v>
      </c>
      <c r="I314" s="181">
        <v>485</v>
      </c>
      <c r="J314" s="181">
        <v>200</v>
      </c>
      <c r="K314" s="181">
        <v>485</v>
      </c>
      <c r="L314" s="181">
        <v>200</v>
      </c>
      <c r="M314" s="181">
        <v>200</v>
      </c>
      <c r="N314" s="181">
        <v>200</v>
      </c>
      <c r="O314" s="211"/>
      <c r="Q314" s="283"/>
      <c r="R314" s="283"/>
      <c r="S314" s="283"/>
      <c r="T314" s="283"/>
      <c r="U314" s="283"/>
      <c r="V314" s="283"/>
      <c r="W314" s="283"/>
      <c r="X314" s="283"/>
      <c r="Y314" s="283"/>
      <c r="Z314" s="283"/>
    </row>
    <row r="315" spans="1:26" s="280" customFormat="1" ht="49.5">
      <c r="A315" s="176">
        <v>10</v>
      </c>
      <c r="B315" s="184" t="s">
        <v>685</v>
      </c>
      <c r="C315" s="183" t="s">
        <v>679</v>
      </c>
      <c r="D315" s="179" t="s">
        <v>686</v>
      </c>
      <c r="E315" s="185">
        <v>807</v>
      </c>
      <c r="F315" s="284"/>
      <c r="G315" s="181">
        <v>225</v>
      </c>
      <c r="H315" s="182">
        <f t="shared" si="56"/>
        <v>582</v>
      </c>
      <c r="I315" s="181">
        <f>524+J315</f>
        <v>749</v>
      </c>
      <c r="J315" s="181">
        <v>225</v>
      </c>
      <c r="K315" s="181">
        <v>749</v>
      </c>
      <c r="L315" s="181">
        <v>225</v>
      </c>
      <c r="M315" s="181">
        <v>225</v>
      </c>
      <c r="N315" s="181">
        <v>225</v>
      </c>
      <c r="O315" s="211"/>
      <c r="Q315" s="283"/>
      <c r="R315" s="283"/>
      <c r="S315" s="283"/>
      <c r="T315" s="283"/>
      <c r="U315" s="283"/>
      <c r="V315" s="283"/>
      <c r="W315" s="283"/>
      <c r="X315" s="283"/>
      <c r="Y315" s="283"/>
      <c r="Z315" s="283"/>
    </row>
    <row r="316" spans="1:26" s="280" customFormat="1" ht="66">
      <c r="A316" s="176">
        <v>11</v>
      </c>
      <c r="B316" s="184" t="s">
        <v>687</v>
      </c>
      <c r="C316" s="183" t="s">
        <v>679</v>
      </c>
      <c r="D316" s="179" t="s">
        <v>688</v>
      </c>
      <c r="E316" s="185">
        <v>927</v>
      </c>
      <c r="F316" s="284"/>
      <c r="G316" s="181">
        <v>200</v>
      </c>
      <c r="H316" s="182">
        <f t="shared" si="56"/>
        <v>727</v>
      </c>
      <c r="I316" s="181">
        <v>421</v>
      </c>
      <c r="J316" s="181">
        <v>200</v>
      </c>
      <c r="K316" s="181">
        <v>649</v>
      </c>
      <c r="L316" s="181">
        <v>200</v>
      </c>
      <c r="M316" s="181">
        <v>200</v>
      </c>
      <c r="N316" s="181">
        <v>200</v>
      </c>
      <c r="O316" s="211"/>
      <c r="Q316" s="283"/>
      <c r="R316" s="283"/>
      <c r="S316" s="283"/>
      <c r="T316" s="283"/>
      <c r="U316" s="283"/>
      <c r="V316" s="283"/>
      <c r="W316" s="283"/>
      <c r="X316" s="283"/>
      <c r="Y316" s="283"/>
      <c r="Z316" s="283"/>
    </row>
    <row r="317" spans="1:26" s="280" customFormat="1" ht="66">
      <c r="A317" s="176">
        <v>12</v>
      </c>
      <c r="B317" s="184" t="s">
        <v>689</v>
      </c>
      <c r="C317" s="183" t="s">
        <v>679</v>
      </c>
      <c r="D317" s="179" t="s">
        <v>690</v>
      </c>
      <c r="E317" s="185">
        <v>900</v>
      </c>
      <c r="F317" s="284"/>
      <c r="G317" s="181">
        <v>595</v>
      </c>
      <c r="H317" s="182">
        <f t="shared" si="56"/>
        <v>305</v>
      </c>
      <c r="I317" s="181">
        <v>795</v>
      </c>
      <c r="J317" s="181">
        <v>595</v>
      </c>
      <c r="K317" s="181">
        <v>835</v>
      </c>
      <c r="L317" s="181">
        <v>595</v>
      </c>
      <c r="M317" s="181">
        <v>595</v>
      </c>
      <c r="N317" s="181">
        <v>595</v>
      </c>
      <c r="O317" s="211"/>
      <c r="Q317" s="283"/>
      <c r="R317" s="283"/>
      <c r="S317" s="283"/>
      <c r="T317" s="283"/>
      <c r="U317" s="283"/>
      <c r="V317" s="283"/>
      <c r="W317" s="283"/>
      <c r="X317" s="283"/>
      <c r="Y317" s="283"/>
      <c r="Z317" s="283"/>
    </row>
    <row r="318" spans="1:26" s="280" customFormat="1" ht="49.5">
      <c r="A318" s="176">
        <v>13</v>
      </c>
      <c r="B318" s="184" t="s">
        <v>691</v>
      </c>
      <c r="C318" s="186" t="s">
        <v>692</v>
      </c>
      <c r="D318" s="184" t="s">
        <v>693</v>
      </c>
      <c r="E318" s="185">
        <v>1103.8</v>
      </c>
      <c r="F318" s="284"/>
      <c r="G318" s="181">
        <v>182</v>
      </c>
      <c r="H318" s="182">
        <f t="shared" ref="H318:H328" si="57">+E318-F318-G318</f>
        <v>921.8</v>
      </c>
      <c r="I318" s="181">
        <v>1044</v>
      </c>
      <c r="J318" s="181">
        <v>182</v>
      </c>
      <c r="K318" s="181">
        <v>1044</v>
      </c>
      <c r="L318" s="181">
        <v>182</v>
      </c>
      <c r="M318" s="181">
        <v>182</v>
      </c>
      <c r="N318" s="181">
        <v>182</v>
      </c>
      <c r="O318" s="211"/>
      <c r="Q318" s="285">
        <f>M317-I317</f>
        <v>-200</v>
      </c>
      <c r="R318" s="283"/>
      <c r="S318" s="283"/>
      <c r="T318" s="283"/>
      <c r="U318" s="283"/>
      <c r="V318" s="283"/>
      <c r="W318" s="283"/>
      <c r="X318" s="283"/>
      <c r="Y318" s="283"/>
      <c r="Z318" s="283"/>
    </row>
    <row r="319" spans="1:26" s="280" customFormat="1" ht="49.5">
      <c r="A319" s="176">
        <v>14</v>
      </c>
      <c r="B319" s="184" t="s">
        <v>694</v>
      </c>
      <c r="C319" s="186" t="s">
        <v>695</v>
      </c>
      <c r="D319" s="184" t="s">
        <v>696</v>
      </c>
      <c r="E319" s="185">
        <v>430</v>
      </c>
      <c r="F319" s="284"/>
      <c r="G319" s="181">
        <v>430</v>
      </c>
      <c r="H319" s="182">
        <f t="shared" si="57"/>
        <v>0</v>
      </c>
      <c r="I319" s="181">
        <v>430</v>
      </c>
      <c r="J319" s="181">
        <v>430</v>
      </c>
      <c r="K319" s="181">
        <v>430</v>
      </c>
      <c r="L319" s="181">
        <v>430</v>
      </c>
      <c r="M319" s="181">
        <v>430</v>
      </c>
      <c r="N319" s="181">
        <v>430</v>
      </c>
      <c r="O319" s="211"/>
      <c r="Q319" s="283"/>
      <c r="R319" s="283"/>
      <c r="S319" s="283"/>
      <c r="T319" s="283"/>
      <c r="U319" s="283"/>
      <c r="V319" s="283"/>
      <c r="W319" s="283"/>
      <c r="X319" s="283"/>
      <c r="Y319" s="283"/>
      <c r="Z319" s="283"/>
    </row>
    <row r="320" spans="1:26" s="280" customFormat="1" ht="49.5">
      <c r="A320" s="176">
        <v>15</v>
      </c>
      <c r="B320" s="187" t="s">
        <v>697</v>
      </c>
      <c r="C320" s="288"/>
      <c r="D320" s="289"/>
      <c r="E320" s="185">
        <v>285</v>
      </c>
      <c r="F320" s="284"/>
      <c r="G320" s="181">
        <v>100</v>
      </c>
      <c r="H320" s="182">
        <f t="shared" si="57"/>
        <v>185</v>
      </c>
      <c r="I320" s="181">
        <v>285</v>
      </c>
      <c r="J320" s="181">
        <v>100</v>
      </c>
      <c r="K320" s="181">
        <v>285</v>
      </c>
      <c r="L320" s="181">
        <v>100</v>
      </c>
      <c r="M320" s="181">
        <v>100</v>
      </c>
      <c r="N320" s="181">
        <v>100</v>
      </c>
      <c r="O320" s="211"/>
      <c r="Q320" s="283"/>
      <c r="R320" s="283"/>
      <c r="S320" s="283"/>
      <c r="T320" s="283"/>
      <c r="U320" s="283"/>
      <c r="V320" s="283"/>
      <c r="W320" s="283"/>
      <c r="X320" s="283"/>
      <c r="Y320" s="283"/>
      <c r="Z320" s="283"/>
    </row>
    <row r="321" spans="1:26" s="280" customFormat="1" ht="33">
      <c r="A321" s="176">
        <v>16</v>
      </c>
      <c r="B321" s="187" t="s">
        <v>698</v>
      </c>
      <c r="C321" s="288"/>
      <c r="D321" s="289"/>
      <c r="E321" s="185">
        <v>405</v>
      </c>
      <c r="F321" s="284"/>
      <c r="G321" s="181">
        <v>105</v>
      </c>
      <c r="H321" s="182">
        <f t="shared" si="57"/>
        <v>300</v>
      </c>
      <c r="I321" s="181">
        <v>405</v>
      </c>
      <c r="J321" s="181">
        <v>105</v>
      </c>
      <c r="K321" s="181">
        <v>405</v>
      </c>
      <c r="L321" s="181">
        <v>105</v>
      </c>
      <c r="M321" s="181">
        <v>105</v>
      </c>
      <c r="N321" s="181">
        <v>105</v>
      </c>
      <c r="O321" s="211"/>
      <c r="Q321" s="283"/>
      <c r="R321" s="283"/>
      <c r="S321" s="283"/>
      <c r="T321" s="283"/>
      <c r="U321" s="283"/>
      <c r="V321" s="283"/>
      <c r="W321" s="283"/>
      <c r="X321" s="283"/>
      <c r="Y321" s="283"/>
      <c r="Z321" s="283"/>
    </row>
    <row r="322" spans="1:26" s="280" customFormat="1" ht="33">
      <c r="A322" s="176">
        <v>17</v>
      </c>
      <c r="B322" s="187" t="s">
        <v>699</v>
      </c>
      <c r="C322" s="183"/>
      <c r="D322" s="179"/>
      <c r="E322" s="185">
        <v>51</v>
      </c>
      <c r="F322" s="284"/>
      <c r="G322" s="181">
        <v>50</v>
      </c>
      <c r="H322" s="182">
        <f t="shared" si="57"/>
        <v>1</v>
      </c>
      <c r="I322" s="181">
        <v>50</v>
      </c>
      <c r="J322" s="181">
        <v>50</v>
      </c>
      <c r="K322" s="181">
        <f t="shared" ref="K322:K327" si="58">L322</f>
        <v>50</v>
      </c>
      <c r="L322" s="181">
        <v>50</v>
      </c>
      <c r="M322" s="181">
        <v>50</v>
      </c>
      <c r="N322" s="181">
        <v>50</v>
      </c>
      <c r="O322" s="211"/>
      <c r="Q322" s="283"/>
      <c r="R322" s="283"/>
      <c r="S322" s="283"/>
      <c r="T322" s="283"/>
      <c r="U322" s="283"/>
      <c r="V322" s="283"/>
      <c r="W322" s="283"/>
      <c r="X322" s="283"/>
      <c r="Y322" s="283"/>
      <c r="Z322" s="283"/>
    </row>
    <row r="323" spans="1:26" s="280" customFormat="1" ht="17.25">
      <c r="A323" s="176">
        <v>18</v>
      </c>
      <c r="B323" s="187" t="s">
        <v>700</v>
      </c>
      <c r="C323" s="183">
        <v>2019</v>
      </c>
      <c r="D323" s="179"/>
      <c r="E323" s="185">
        <v>178</v>
      </c>
      <c r="F323" s="284"/>
      <c r="G323" s="181">
        <v>178</v>
      </c>
      <c r="H323" s="182">
        <f t="shared" si="57"/>
        <v>0</v>
      </c>
      <c r="I323" s="181">
        <v>178</v>
      </c>
      <c r="J323" s="181">
        <v>178</v>
      </c>
      <c r="K323" s="181">
        <f t="shared" si="58"/>
        <v>178</v>
      </c>
      <c r="L323" s="181">
        <v>178</v>
      </c>
      <c r="M323" s="181">
        <v>178</v>
      </c>
      <c r="N323" s="181">
        <v>178</v>
      </c>
      <c r="O323" s="211"/>
      <c r="Q323" s="283"/>
      <c r="R323" s="283"/>
      <c r="S323" s="283"/>
      <c r="T323" s="283"/>
      <c r="U323" s="283"/>
      <c r="V323" s="283"/>
      <c r="W323" s="283"/>
      <c r="X323" s="283"/>
      <c r="Y323" s="283"/>
      <c r="Z323" s="283"/>
    </row>
    <row r="324" spans="1:26" s="280" customFormat="1" ht="17.25">
      <c r="A324" s="176">
        <v>19</v>
      </c>
      <c r="B324" s="187" t="s">
        <v>701</v>
      </c>
      <c r="C324" s="183">
        <v>2019</v>
      </c>
      <c r="D324" s="289"/>
      <c r="E324" s="185">
        <v>178</v>
      </c>
      <c r="F324" s="284"/>
      <c r="G324" s="181">
        <v>78</v>
      </c>
      <c r="H324" s="182">
        <f t="shared" si="57"/>
        <v>100</v>
      </c>
      <c r="I324" s="181">
        <v>178</v>
      </c>
      <c r="J324" s="181">
        <v>78</v>
      </c>
      <c r="K324" s="181">
        <v>178</v>
      </c>
      <c r="L324" s="181">
        <v>78</v>
      </c>
      <c r="M324" s="181">
        <v>78</v>
      </c>
      <c r="N324" s="181">
        <v>78</v>
      </c>
      <c r="O324" s="211"/>
      <c r="Q324" s="283"/>
      <c r="R324" s="283"/>
      <c r="S324" s="283"/>
      <c r="T324" s="283"/>
      <c r="U324" s="283"/>
      <c r="V324" s="283"/>
      <c r="W324" s="283"/>
      <c r="X324" s="283"/>
      <c r="Y324" s="283"/>
      <c r="Z324" s="283"/>
    </row>
    <row r="325" spans="1:26" s="280" customFormat="1" ht="33">
      <c r="A325" s="176">
        <v>20</v>
      </c>
      <c r="B325" s="240" t="s">
        <v>702</v>
      </c>
      <c r="C325" s="183">
        <v>2019</v>
      </c>
      <c r="D325" s="289"/>
      <c r="E325" s="185">
        <v>1243</v>
      </c>
      <c r="F325" s="284"/>
      <c r="G325" s="181">
        <v>616</v>
      </c>
      <c r="H325" s="182">
        <f t="shared" si="57"/>
        <v>627</v>
      </c>
      <c r="I325" s="181">
        <v>1243</v>
      </c>
      <c r="J325" s="181">
        <v>616</v>
      </c>
      <c r="K325" s="181">
        <v>1243</v>
      </c>
      <c r="L325" s="181">
        <v>616</v>
      </c>
      <c r="M325" s="181">
        <v>616</v>
      </c>
      <c r="N325" s="181">
        <v>616</v>
      </c>
      <c r="O325" s="211"/>
      <c r="Q325" s="283"/>
      <c r="R325" s="283"/>
      <c r="S325" s="283"/>
      <c r="T325" s="283"/>
      <c r="U325" s="283"/>
      <c r="V325" s="283"/>
      <c r="W325" s="283"/>
      <c r="X325" s="283"/>
      <c r="Y325" s="283"/>
      <c r="Z325" s="283"/>
    </row>
    <row r="326" spans="1:26" s="280" customFormat="1" ht="49.5">
      <c r="A326" s="176">
        <v>21</v>
      </c>
      <c r="B326" s="184" t="s">
        <v>703</v>
      </c>
      <c r="C326" s="183" t="s">
        <v>682</v>
      </c>
      <c r="D326" s="179" t="s">
        <v>704</v>
      </c>
      <c r="E326" s="185">
        <v>1116</v>
      </c>
      <c r="F326" s="284"/>
      <c r="G326" s="181">
        <v>400</v>
      </c>
      <c r="H326" s="182">
        <f t="shared" si="57"/>
        <v>716</v>
      </c>
      <c r="I326" s="181">
        <v>1021</v>
      </c>
      <c r="J326" s="181">
        <v>400</v>
      </c>
      <c r="K326" s="181">
        <v>1021</v>
      </c>
      <c r="L326" s="181">
        <v>400</v>
      </c>
      <c r="M326" s="181">
        <v>400</v>
      </c>
      <c r="N326" s="181">
        <v>400</v>
      </c>
      <c r="O326" s="211"/>
      <c r="Q326" s="283"/>
      <c r="R326" s="283"/>
      <c r="S326" s="283"/>
      <c r="T326" s="283"/>
      <c r="U326" s="283"/>
      <c r="V326" s="283"/>
      <c r="W326" s="283"/>
      <c r="X326" s="283">
        <v>165</v>
      </c>
      <c r="Y326" s="283"/>
      <c r="Z326" s="283"/>
    </row>
    <row r="327" spans="1:26" s="280" customFormat="1" ht="49.5">
      <c r="A327" s="176">
        <v>22</v>
      </c>
      <c r="B327" s="184" t="s">
        <v>705</v>
      </c>
      <c r="C327" s="183" t="s">
        <v>679</v>
      </c>
      <c r="D327" s="179" t="s">
        <v>706</v>
      </c>
      <c r="E327" s="185">
        <v>975</v>
      </c>
      <c r="F327" s="284"/>
      <c r="G327" s="181">
        <v>87</v>
      </c>
      <c r="H327" s="182">
        <f t="shared" si="57"/>
        <v>888</v>
      </c>
      <c r="I327" s="181">
        <v>897</v>
      </c>
      <c r="J327" s="181">
        <v>87</v>
      </c>
      <c r="K327" s="181">
        <f t="shared" si="58"/>
        <v>87</v>
      </c>
      <c r="L327" s="181">
        <v>87</v>
      </c>
      <c r="M327" s="181">
        <v>87</v>
      </c>
      <c r="N327" s="181">
        <v>87</v>
      </c>
      <c r="O327" s="211"/>
      <c r="Q327" s="283"/>
      <c r="R327" s="283"/>
      <c r="S327" s="283"/>
      <c r="T327" s="283"/>
      <c r="U327" s="283"/>
      <c r="V327" s="283"/>
      <c r="W327" s="283"/>
      <c r="X327" s="283"/>
      <c r="Y327" s="283"/>
      <c r="Z327" s="283"/>
    </row>
    <row r="328" spans="1:26" s="280" customFormat="1" ht="66">
      <c r="A328" s="176">
        <v>28</v>
      </c>
      <c r="B328" s="188" t="s">
        <v>707</v>
      </c>
      <c r="C328" s="47" t="s">
        <v>708</v>
      </c>
      <c r="D328" s="179" t="s">
        <v>709</v>
      </c>
      <c r="E328" s="185">
        <v>4421</v>
      </c>
      <c r="F328" s="182"/>
      <c r="G328" s="181">
        <f>2600+372</f>
        <v>2972</v>
      </c>
      <c r="H328" s="182">
        <f t="shared" si="57"/>
        <v>1449</v>
      </c>
      <c r="I328" s="181">
        <v>3379</v>
      </c>
      <c r="J328" s="181">
        <f>2600+372</f>
        <v>2972</v>
      </c>
      <c r="K328" s="181">
        <v>4215</v>
      </c>
      <c r="L328" s="181">
        <f>2600+372</f>
        <v>2972</v>
      </c>
      <c r="M328" s="181">
        <f>2600+372</f>
        <v>2972</v>
      </c>
      <c r="N328" s="181">
        <f>2600+372</f>
        <v>2972</v>
      </c>
      <c r="O328" s="211"/>
      <c r="Q328" s="283"/>
      <c r="R328" s="283"/>
      <c r="S328" s="283"/>
      <c r="T328" s="283"/>
      <c r="U328" s="283"/>
      <c r="V328" s="283"/>
      <c r="W328" s="283"/>
      <c r="X328" s="283"/>
      <c r="Y328" s="283"/>
      <c r="Z328" s="283"/>
    </row>
    <row r="329" spans="1:26" s="280" customFormat="1" ht="17.25">
      <c r="A329" s="176"/>
      <c r="B329" s="188" t="s">
        <v>809</v>
      </c>
      <c r="C329" s="47"/>
      <c r="D329" s="179"/>
      <c r="E329" s="185"/>
      <c r="F329" s="182"/>
      <c r="G329" s="181"/>
      <c r="H329" s="182"/>
      <c r="I329" s="181"/>
      <c r="J329" s="181">
        <v>800</v>
      </c>
      <c r="K329" s="181"/>
      <c r="L329" s="181"/>
      <c r="M329" s="181">
        <v>800</v>
      </c>
      <c r="N329" s="181">
        <v>800</v>
      </c>
      <c r="O329" s="211"/>
      <c r="P329" s="280">
        <v>1</v>
      </c>
      <c r="Q329" s="283"/>
      <c r="R329" s="283"/>
      <c r="S329" s="283"/>
      <c r="T329" s="283"/>
      <c r="U329" s="283"/>
      <c r="V329" s="283"/>
      <c r="W329" s="283"/>
      <c r="X329" s="283">
        <v>800</v>
      </c>
      <c r="Y329" s="283"/>
      <c r="Z329" s="283"/>
    </row>
    <row r="330" spans="1:26" s="280" customFormat="1" ht="33">
      <c r="A330" s="176"/>
      <c r="B330" s="188" t="s">
        <v>789</v>
      </c>
      <c r="C330" s="47"/>
      <c r="D330" s="179"/>
      <c r="E330" s="185"/>
      <c r="F330" s="182"/>
      <c r="G330" s="181"/>
      <c r="H330" s="182"/>
      <c r="I330" s="181"/>
      <c r="J330" s="181">
        <v>250</v>
      </c>
      <c r="K330" s="181"/>
      <c r="L330" s="181"/>
      <c r="M330" s="181">
        <v>250</v>
      </c>
      <c r="N330" s="181">
        <v>250</v>
      </c>
      <c r="O330" s="211"/>
      <c r="Q330" s="283"/>
      <c r="R330" s="283"/>
      <c r="S330" s="283"/>
      <c r="T330" s="283"/>
      <c r="U330" s="283"/>
      <c r="V330" s="283"/>
      <c r="W330" s="283"/>
      <c r="X330" s="283"/>
      <c r="Y330" s="283"/>
      <c r="Z330" s="283"/>
    </row>
    <row r="331" spans="1:26" s="280" customFormat="1" ht="33">
      <c r="A331" s="176"/>
      <c r="B331" s="188" t="s">
        <v>790</v>
      </c>
      <c r="C331" s="47"/>
      <c r="D331" s="179"/>
      <c r="E331" s="185"/>
      <c r="F331" s="182"/>
      <c r="G331" s="181"/>
      <c r="H331" s="182"/>
      <c r="I331" s="181"/>
      <c r="J331" s="181">
        <v>500</v>
      </c>
      <c r="K331" s="181"/>
      <c r="L331" s="181"/>
      <c r="M331" s="181">
        <v>500</v>
      </c>
      <c r="N331" s="181">
        <v>500</v>
      </c>
      <c r="O331" s="211"/>
      <c r="Q331" s="283"/>
      <c r="R331" s="283"/>
      <c r="S331" s="283"/>
      <c r="T331" s="283"/>
      <c r="U331" s="283"/>
      <c r="V331" s="283"/>
      <c r="W331" s="283"/>
      <c r="X331" s="283"/>
      <c r="Y331" s="283"/>
      <c r="Z331" s="283"/>
    </row>
    <row r="332" spans="1:26" s="280" customFormat="1" ht="49.5">
      <c r="A332" s="176"/>
      <c r="B332" s="188" t="s">
        <v>791</v>
      </c>
      <c r="C332" s="47"/>
      <c r="D332" s="179"/>
      <c r="E332" s="185"/>
      <c r="F332" s="182"/>
      <c r="G332" s="181"/>
      <c r="H332" s="182"/>
      <c r="I332" s="181"/>
      <c r="J332" s="181">
        <v>300</v>
      </c>
      <c r="K332" s="181"/>
      <c r="L332" s="181"/>
      <c r="M332" s="181">
        <v>300</v>
      </c>
      <c r="N332" s="181">
        <v>300</v>
      </c>
      <c r="O332" s="211"/>
      <c r="Q332" s="283"/>
      <c r="R332" s="283"/>
      <c r="S332" s="283"/>
      <c r="T332" s="283"/>
      <c r="U332" s="283"/>
      <c r="V332" s="283"/>
      <c r="W332" s="283"/>
      <c r="X332" s="283">
        <v>300</v>
      </c>
      <c r="Y332" s="283"/>
      <c r="Z332" s="283"/>
    </row>
    <row r="333" spans="1:26" s="280" customFormat="1" ht="33">
      <c r="A333" s="176"/>
      <c r="B333" s="188" t="s">
        <v>802</v>
      </c>
      <c r="C333" s="47"/>
      <c r="D333" s="179"/>
      <c r="E333" s="185"/>
      <c r="F333" s="182"/>
      <c r="G333" s="181"/>
      <c r="H333" s="182"/>
      <c r="I333" s="181"/>
      <c r="J333" s="181">
        <v>151</v>
      </c>
      <c r="K333" s="181"/>
      <c r="L333" s="181"/>
      <c r="M333" s="181">
        <v>151</v>
      </c>
      <c r="N333" s="181">
        <v>151</v>
      </c>
      <c r="O333" s="211"/>
      <c r="P333" s="280">
        <v>1</v>
      </c>
      <c r="Q333" s="283"/>
      <c r="R333" s="283"/>
      <c r="S333" s="283"/>
      <c r="T333" s="283"/>
      <c r="U333" s="283"/>
      <c r="V333" s="283"/>
      <c r="W333" s="283">
        <v>151</v>
      </c>
      <c r="X333" s="283"/>
      <c r="Y333" s="283"/>
      <c r="Z333" s="283"/>
    </row>
    <row r="334" spans="1:26" s="280" customFormat="1" ht="33">
      <c r="A334" s="176"/>
      <c r="B334" s="188" t="s">
        <v>803</v>
      </c>
      <c r="C334" s="47"/>
      <c r="D334" s="179"/>
      <c r="E334" s="185"/>
      <c r="F334" s="182"/>
      <c r="G334" s="181"/>
      <c r="H334" s="182"/>
      <c r="I334" s="181"/>
      <c r="J334" s="181"/>
      <c r="K334" s="181"/>
      <c r="L334" s="181"/>
      <c r="M334" s="181"/>
      <c r="N334" s="181"/>
      <c r="O334" s="211"/>
      <c r="P334" s="280">
        <v>1</v>
      </c>
      <c r="Q334" s="283"/>
      <c r="R334" s="283"/>
      <c r="S334" s="283"/>
      <c r="T334" s="283"/>
      <c r="U334" s="283"/>
      <c r="V334" s="283"/>
      <c r="W334" s="283">
        <v>900</v>
      </c>
      <c r="X334" s="283"/>
      <c r="Y334" s="283"/>
      <c r="Z334" s="283"/>
    </row>
    <row r="335" spans="1:26" s="280" customFormat="1" ht="49.5">
      <c r="A335" s="176"/>
      <c r="B335" s="188" t="s">
        <v>808</v>
      </c>
      <c r="C335" s="47"/>
      <c r="D335" s="179"/>
      <c r="E335" s="185"/>
      <c r="F335" s="182"/>
      <c r="G335" s="181"/>
      <c r="H335" s="182"/>
      <c r="I335" s="181"/>
      <c r="J335" s="181">
        <v>46</v>
      </c>
      <c r="K335" s="181"/>
      <c r="L335" s="181"/>
      <c r="M335" s="181">
        <v>46</v>
      </c>
      <c r="N335" s="181">
        <v>46</v>
      </c>
      <c r="O335" s="211"/>
      <c r="Q335" s="283"/>
      <c r="R335" s="283"/>
      <c r="S335" s="283"/>
      <c r="T335" s="283"/>
      <c r="U335" s="283"/>
      <c r="V335" s="283"/>
      <c r="W335" s="283"/>
      <c r="X335" s="283">
        <v>46</v>
      </c>
      <c r="Y335" s="283"/>
      <c r="Z335" s="283"/>
    </row>
    <row r="336" spans="1:26" s="281" customFormat="1" ht="17.25">
      <c r="A336" s="246" t="s">
        <v>743</v>
      </c>
      <c r="B336" s="81" t="s">
        <v>718</v>
      </c>
      <c r="C336" s="247"/>
      <c r="D336" s="247"/>
      <c r="E336" s="37">
        <f>E337+E338+E339</f>
        <v>4943.6710000000003</v>
      </c>
      <c r="F336" s="37">
        <f t="shared" ref="F336:N336" si="59">F337+F338+F339</f>
        <v>600</v>
      </c>
      <c r="G336" s="37">
        <f t="shared" si="59"/>
        <v>2500</v>
      </c>
      <c r="H336" s="37">
        <f t="shared" si="59"/>
        <v>1843.671</v>
      </c>
      <c r="I336" s="37">
        <f t="shared" si="59"/>
        <v>4614.1750000000002</v>
      </c>
      <c r="J336" s="37">
        <f t="shared" si="59"/>
        <v>2500</v>
      </c>
      <c r="K336" s="37">
        <f t="shared" si="59"/>
        <v>4734.6480000000001</v>
      </c>
      <c r="L336" s="37">
        <f t="shared" si="59"/>
        <v>5000</v>
      </c>
      <c r="M336" s="37">
        <f t="shared" si="59"/>
        <v>2500</v>
      </c>
      <c r="N336" s="37">
        <f t="shared" si="59"/>
        <v>2500</v>
      </c>
      <c r="O336" s="37"/>
      <c r="Q336" s="283"/>
      <c r="R336" s="283"/>
      <c r="S336" s="283"/>
      <c r="T336" s="283"/>
      <c r="U336" s="283"/>
      <c r="V336" s="283"/>
      <c r="W336" s="283"/>
      <c r="X336" s="283"/>
      <c r="Y336" s="283"/>
      <c r="Z336" s="283"/>
    </row>
    <row r="337" spans="1:26" s="281" customFormat="1" ht="49.5">
      <c r="A337" s="189"/>
      <c r="B337" s="190" t="s">
        <v>379</v>
      </c>
      <c r="C337" s="170"/>
      <c r="D337" s="191"/>
      <c r="E337" s="192"/>
      <c r="F337" s="193"/>
      <c r="G337" s="194"/>
      <c r="H337" s="193"/>
      <c r="I337" s="194"/>
      <c r="J337" s="194"/>
      <c r="K337" s="194"/>
      <c r="L337" s="194"/>
      <c r="M337" s="194"/>
      <c r="N337" s="194"/>
      <c r="O337" s="211"/>
      <c r="Q337" s="283"/>
      <c r="R337" s="283"/>
      <c r="S337" s="283"/>
      <c r="T337" s="283"/>
      <c r="U337" s="283"/>
      <c r="V337" s="283"/>
      <c r="W337" s="283"/>
      <c r="X337" s="283"/>
      <c r="Y337" s="283"/>
      <c r="Z337" s="283"/>
    </row>
    <row r="338" spans="1:26" s="281" customFormat="1" ht="33">
      <c r="A338" s="189"/>
      <c r="B338" s="190" t="s">
        <v>141</v>
      </c>
      <c r="C338" s="170"/>
      <c r="D338" s="191"/>
      <c r="E338" s="192"/>
      <c r="F338" s="193"/>
      <c r="G338" s="194"/>
      <c r="H338" s="193"/>
      <c r="I338" s="194"/>
      <c r="J338" s="194"/>
      <c r="K338" s="194"/>
      <c r="L338" s="194"/>
      <c r="M338" s="194"/>
      <c r="N338" s="194"/>
      <c r="O338" s="211"/>
      <c r="Q338" s="283"/>
      <c r="R338" s="283"/>
      <c r="S338" s="283"/>
      <c r="T338" s="283"/>
      <c r="U338" s="283"/>
      <c r="V338" s="283"/>
      <c r="W338" s="283"/>
      <c r="X338" s="283"/>
      <c r="Y338" s="283"/>
      <c r="Z338" s="283"/>
    </row>
    <row r="339" spans="1:26" s="281" customFormat="1" ht="33">
      <c r="A339" s="189"/>
      <c r="B339" s="190" t="s">
        <v>335</v>
      </c>
      <c r="C339" s="170"/>
      <c r="D339" s="191"/>
      <c r="E339" s="192">
        <f>SUM(E340:E341)</f>
        <v>4943.6710000000003</v>
      </c>
      <c r="F339" s="193">
        <f t="shared" ref="F339:N339" si="60">SUM(F340:F341)</f>
        <v>600</v>
      </c>
      <c r="G339" s="194">
        <f t="shared" si="60"/>
        <v>2500</v>
      </c>
      <c r="H339" s="193">
        <f t="shared" si="60"/>
        <v>1843.671</v>
      </c>
      <c r="I339" s="194">
        <f t="shared" si="60"/>
        <v>4614.1750000000002</v>
      </c>
      <c r="J339" s="194">
        <f t="shared" si="60"/>
        <v>2500</v>
      </c>
      <c r="K339" s="194">
        <f t="shared" si="60"/>
        <v>4734.6480000000001</v>
      </c>
      <c r="L339" s="194">
        <f t="shared" si="60"/>
        <v>5000</v>
      </c>
      <c r="M339" s="194">
        <f t="shared" si="60"/>
        <v>2500</v>
      </c>
      <c r="N339" s="194">
        <f t="shared" si="60"/>
        <v>2500</v>
      </c>
      <c r="O339" s="211"/>
      <c r="Q339" s="283"/>
      <c r="R339" s="283"/>
      <c r="S339" s="283"/>
      <c r="T339" s="283"/>
      <c r="U339" s="283"/>
      <c r="V339" s="283"/>
      <c r="W339" s="283"/>
      <c r="X339" s="283"/>
      <c r="Y339" s="283"/>
      <c r="Z339" s="283"/>
    </row>
    <row r="340" spans="1:26" s="280" customFormat="1" ht="66">
      <c r="A340" s="176">
        <v>1</v>
      </c>
      <c r="B340" s="188" t="s">
        <v>712</v>
      </c>
      <c r="C340" s="47" t="s">
        <v>713</v>
      </c>
      <c r="D340" s="179" t="s">
        <v>714</v>
      </c>
      <c r="E340" s="185">
        <v>1943.671</v>
      </c>
      <c r="F340" s="182">
        <v>600</v>
      </c>
      <c r="G340" s="181">
        <v>1000</v>
      </c>
      <c r="H340" s="182">
        <f>E340-F340-G340</f>
        <v>343.67100000000005</v>
      </c>
      <c r="I340" s="181">
        <v>1816.3030000000001</v>
      </c>
      <c r="J340" s="181">
        <v>1000</v>
      </c>
      <c r="K340" s="181">
        <v>1833.7329999999999</v>
      </c>
      <c r="L340" s="181">
        <f>M340+N340</f>
        <v>2000</v>
      </c>
      <c r="M340" s="181">
        <v>1000</v>
      </c>
      <c r="N340" s="181">
        <v>1000</v>
      </c>
      <c r="O340" s="211"/>
      <c r="Q340" s="283"/>
      <c r="R340" s="283"/>
      <c r="S340" s="283"/>
      <c r="T340" s="283"/>
      <c r="U340" s="283"/>
      <c r="V340" s="283"/>
      <c r="W340" s="283"/>
      <c r="X340" s="283"/>
      <c r="Y340" s="283"/>
      <c r="Z340" s="283"/>
    </row>
    <row r="341" spans="1:26" s="280" customFormat="1" ht="99">
      <c r="A341" s="176">
        <v>2</v>
      </c>
      <c r="B341" s="188" t="s">
        <v>715</v>
      </c>
      <c r="C341" s="47" t="s">
        <v>716</v>
      </c>
      <c r="D341" s="179" t="s">
        <v>717</v>
      </c>
      <c r="E341" s="185">
        <v>3000</v>
      </c>
      <c r="F341" s="182">
        <v>0</v>
      </c>
      <c r="G341" s="181">
        <v>1500</v>
      </c>
      <c r="H341" s="182">
        <f>E341-G341</f>
        <v>1500</v>
      </c>
      <c r="I341" s="181">
        <v>2797.8719999999998</v>
      </c>
      <c r="J341" s="181">
        <v>1500</v>
      </c>
      <c r="K341" s="181">
        <v>2900.915</v>
      </c>
      <c r="L341" s="181">
        <f>M341+N341</f>
        <v>3000</v>
      </c>
      <c r="M341" s="181">
        <v>1500</v>
      </c>
      <c r="N341" s="181">
        <v>1500</v>
      </c>
      <c r="O341" s="211"/>
      <c r="Q341" s="283"/>
      <c r="R341" s="283"/>
      <c r="S341" s="283"/>
      <c r="T341" s="283"/>
      <c r="U341" s="283"/>
      <c r="V341" s="283"/>
      <c r="W341" s="283"/>
      <c r="X341" s="283"/>
      <c r="Y341" s="283"/>
      <c r="Z341" s="283"/>
    </row>
    <row r="342" spans="1:26" s="210" customFormat="1" ht="16.5">
      <c r="A342" s="254" t="s">
        <v>756</v>
      </c>
      <c r="B342" s="255" t="s">
        <v>741</v>
      </c>
      <c r="C342" s="248"/>
      <c r="D342" s="248"/>
      <c r="E342" s="72">
        <f t="shared" ref="E342:L342" si="61">E345</f>
        <v>17728</v>
      </c>
      <c r="F342" s="72">
        <f t="shared" si="61"/>
        <v>400</v>
      </c>
      <c r="G342" s="72">
        <f t="shared" si="61"/>
        <v>3317</v>
      </c>
      <c r="H342" s="72">
        <f t="shared" si="61"/>
        <v>14011</v>
      </c>
      <c r="I342" s="72">
        <f t="shared" si="61"/>
        <v>11263</v>
      </c>
      <c r="J342" s="72">
        <f t="shared" si="61"/>
        <v>3317</v>
      </c>
      <c r="K342" s="72">
        <f t="shared" si="61"/>
        <v>15004</v>
      </c>
      <c r="L342" s="72">
        <f t="shared" si="61"/>
        <v>11263</v>
      </c>
      <c r="M342" s="72">
        <f>M345</f>
        <v>2427</v>
      </c>
      <c r="N342" s="72">
        <f>N345</f>
        <v>3317</v>
      </c>
      <c r="O342" s="256"/>
      <c r="Q342" s="82"/>
      <c r="R342" s="82"/>
      <c r="S342" s="82"/>
      <c r="T342" s="82"/>
      <c r="U342" s="82"/>
      <c r="V342" s="82"/>
      <c r="W342" s="82"/>
      <c r="X342" s="82"/>
      <c r="Y342" s="82"/>
      <c r="Z342" s="82"/>
    </row>
    <row r="343" spans="1:26" s="210" customFormat="1" ht="49.5">
      <c r="A343" s="246" t="s">
        <v>21</v>
      </c>
      <c r="B343" s="73" t="s">
        <v>379</v>
      </c>
      <c r="C343" s="247"/>
      <c r="D343" s="257"/>
      <c r="E343" s="37"/>
      <c r="F343" s="37"/>
      <c r="G343" s="37"/>
      <c r="H343" s="37"/>
      <c r="I343" s="37"/>
      <c r="J343" s="37"/>
      <c r="K343" s="37"/>
      <c r="L343" s="37"/>
      <c r="M343" s="37"/>
      <c r="N343" s="37"/>
      <c r="O343" s="211"/>
      <c r="Q343" s="82"/>
      <c r="R343" s="82"/>
      <c r="S343" s="82"/>
      <c r="T343" s="82"/>
      <c r="U343" s="82"/>
      <c r="V343" s="82"/>
      <c r="W343" s="82"/>
      <c r="X343" s="82"/>
      <c r="Y343" s="82"/>
      <c r="Z343" s="82"/>
    </row>
    <row r="344" spans="1:26" s="210" customFormat="1" ht="33">
      <c r="A344" s="246" t="s">
        <v>28</v>
      </c>
      <c r="B344" s="22" t="s">
        <v>141</v>
      </c>
      <c r="C344" s="23"/>
      <c r="D344" s="24"/>
      <c r="E344" s="25"/>
      <c r="F344" s="25"/>
      <c r="G344" s="25"/>
      <c r="H344" s="25"/>
      <c r="I344" s="25"/>
      <c r="J344" s="25"/>
      <c r="K344" s="25"/>
      <c r="L344" s="25"/>
      <c r="M344" s="25"/>
      <c r="N344" s="25"/>
      <c r="O344" s="211"/>
      <c r="Q344" s="82"/>
      <c r="R344" s="82"/>
      <c r="S344" s="82"/>
      <c r="T344" s="82"/>
      <c r="U344" s="82"/>
      <c r="V344" s="82"/>
      <c r="W344" s="82"/>
      <c r="X344" s="82"/>
      <c r="Y344" s="82"/>
      <c r="Z344" s="82"/>
    </row>
    <row r="345" spans="1:26" s="210" customFormat="1" ht="36.75" customHeight="1">
      <c r="A345" s="246" t="s">
        <v>28</v>
      </c>
      <c r="B345" s="22" t="s">
        <v>335</v>
      </c>
      <c r="C345" s="23"/>
      <c r="D345" s="24"/>
      <c r="E345" s="25">
        <f>SUM(E346:E354)</f>
        <v>17728</v>
      </c>
      <c r="F345" s="25">
        <f t="shared" ref="F345:N345" si="62">SUM(F346:F354)</f>
        <v>400</v>
      </c>
      <c r="G345" s="25">
        <f t="shared" si="62"/>
        <v>3317</v>
      </c>
      <c r="H345" s="25">
        <f t="shared" si="62"/>
        <v>14011</v>
      </c>
      <c r="I345" s="25">
        <f t="shared" si="62"/>
        <v>11263</v>
      </c>
      <c r="J345" s="25">
        <f t="shared" si="62"/>
        <v>3317</v>
      </c>
      <c r="K345" s="25">
        <f t="shared" si="62"/>
        <v>15004</v>
      </c>
      <c r="L345" s="25">
        <f t="shared" si="62"/>
        <v>11263</v>
      </c>
      <c r="M345" s="25">
        <f t="shared" si="62"/>
        <v>2427</v>
      </c>
      <c r="N345" s="25">
        <f t="shared" si="62"/>
        <v>3317</v>
      </c>
      <c r="O345" s="211"/>
      <c r="Q345" s="82"/>
      <c r="R345" s="82"/>
      <c r="S345" s="82"/>
      <c r="T345" s="82"/>
      <c r="U345" s="82"/>
      <c r="V345" s="82"/>
      <c r="W345" s="82"/>
      <c r="X345" s="82"/>
      <c r="Y345" s="82"/>
      <c r="Z345" s="82"/>
    </row>
    <row r="346" spans="1:26" s="83" customFormat="1" ht="52.5" customHeight="1">
      <c r="A346" s="34"/>
      <c r="B346" s="75" t="s">
        <v>721</v>
      </c>
      <c r="C346" s="76" t="s">
        <v>156</v>
      </c>
      <c r="D346" s="46" t="s">
        <v>722</v>
      </c>
      <c r="E346" s="54">
        <v>2724</v>
      </c>
      <c r="F346" s="33"/>
      <c r="G346" s="33">
        <v>728</v>
      </c>
      <c r="H346" s="33">
        <f>+E346-F346-G346</f>
        <v>1996</v>
      </c>
      <c r="I346" s="33">
        <v>2538</v>
      </c>
      <c r="J346" s="33">
        <v>728</v>
      </c>
      <c r="K346" s="33">
        <v>2574</v>
      </c>
      <c r="L346" s="33">
        <v>2538</v>
      </c>
      <c r="M346" s="33">
        <v>728</v>
      </c>
      <c r="N346" s="33">
        <v>728</v>
      </c>
      <c r="O346" s="82"/>
      <c r="P346" s="258">
        <v>1</v>
      </c>
      <c r="Q346" s="82"/>
      <c r="R346" s="82"/>
      <c r="S346" s="82"/>
      <c r="T346" s="82"/>
      <c r="U346" s="82"/>
      <c r="V346" s="82"/>
      <c r="W346" s="82"/>
      <c r="X346" s="82"/>
      <c r="Y346" s="82"/>
      <c r="Z346" s="82"/>
    </row>
    <row r="347" spans="1:26" s="210" customFormat="1" ht="72.75" customHeight="1">
      <c r="A347" s="246"/>
      <c r="B347" s="286" t="s">
        <v>723</v>
      </c>
      <c r="C347" s="76" t="s">
        <v>724</v>
      </c>
      <c r="D347" s="46" t="s">
        <v>725</v>
      </c>
      <c r="E347" s="33">
        <v>2983</v>
      </c>
      <c r="F347" s="33"/>
      <c r="G347" s="33">
        <v>850</v>
      </c>
      <c r="H347" s="33">
        <f t="shared" ref="H347:H354" si="63">+E347-F347-G347</f>
        <v>2133</v>
      </c>
      <c r="I347" s="33">
        <v>1350</v>
      </c>
      <c r="J347" s="33">
        <v>850</v>
      </c>
      <c r="K347" s="33">
        <v>2000</v>
      </c>
      <c r="L347" s="33">
        <v>1350</v>
      </c>
      <c r="M347" s="33">
        <v>850</v>
      </c>
      <c r="N347" s="33">
        <f>850</f>
        <v>850</v>
      </c>
      <c r="O347" s="82"/>
      <c r="Q347" s="82"/>
      <c r="R347" s="82"/>
      <c r="S347" s="82"/>
      <c r="T347" s="82"/>
      <c r="U347" s="82"/>
      <c r="V347" s="82"/>
      <c r="W347" s="82"/>
      <c r="X347" s="82"/>
      <c r="Y347" s="82"/>
      <c r="Z347" s="82"/>
    </row>
    <row r="348" spans="1:26" s="210" customFormat="1" ht="57" customHeight="1">
      <c r="A348" s="246"/>
      <c r="B348" s="58" t="s">
        <v>726</v>
      </c>
      <c r="C348" s="76" t="s">
        <v>219</v>
      </c>
      <c r="D348" s="46" t="s">
        <v>727</v>
      </c>
      <c r="E348" s="33">
        <v>3483</v>
      </c>
      <c r="F348" s="33"/>
      <c r="G348" s="33">
        <v>1000</v>
      </c>
      <c r="H348" s="33">
        <f t="shared" si="63"/>
        <v>2483</v>
      </c>
      <c r="I348" s="33">
        <v>2686</v>
      </c>
      <c r="J348" s="33">
        <v>1000</v>
      </c>
      <c r="K348" s="33">
        <f>3400+106+90+220</f>
        <v>3816</v>
      </c>
      <c r="L348" s="33">
        <v>2686</v>
      </c>
      <c r="M348" s="33">
        <v>160</v>
      </c>
      <c r="N348" s="33">
        <v>1000</v>
      </c>
      <c r="O348" s="82"/>
      <c r="Q348" s="82"/>
      <c r="R348" s="82"/>
      <c r="S348" s="82"/>
      <c r="T348" s="82"/>
      <c r="U348" s="82"/>
      <c r="V348" s="82"/>
      <c r="W348" s="82"/>
      <c r="X348" s="82">
        <v>850</v>
      </c>
      <c r="Y348" s="82"/>
      <c r="Z348" s="82"/>
    </row>
    <row r="349" spans="1:26" s="210" customFormat="1" ht="51.75" customHeight="1">
      <c r="A349" s="246"/>
      <c r="B349" s="58" t="s">
        <v>728</v>
      </c>
      <c r="C349" s="76" t="s">
        <v>219</v>
      </c>
      <c r="D349" s="46" t="s">
        <v>729</v>
      </c>
      <c r="E349" s="33">
        <v>3510</v>
      </c>
      <c r="F349" s="33"/>
      <c r="G349" s="33">
        <v>350</v>
      </c>
      <c r="H349" s="33">
        <f t="shared" si="63"/>
        <v>3160</v>
      </c>
      <c r="I349" s="33">
        <v>1260</v>
      </c>
      <c r="J349" s="33">
        <v>350</v>
      </c>
      <c r="K349" s="33">
        <v>3300</v>
      </c>
      <c r="L349" s="33">
        <v>1260</v>
      </c>
      <c r="M349" s="33">
        <v>300</v>
      </c>
      <c r="N349" s="33">
        <v>350</v>
      </c>
      <c r="O349" s="82"/>
      <c r="Q349" s="82"/>
      <c r="R349" s="82"/>
      <c r="S349" s="82"/>
      <c r="T349" s="82"/>
      <c r="U349" s="82"/>
      <c r="V349" s="82"/>
      <c r="W349" s="82"/>
      <c r="X349" s="82"/>
      <c r="Y349" s="82"/>
      <c r="Z349" s="82"/>
    </row>
    <row r="350" spans="1:26" s="83" customFormat="1" ht="39" customHeight="1">
      <c r="A350" s="34"/>
      <c r="B350" s="75" t="s">
        <v>730</v>
      </c>
      <c r="C350" s="76" t="s">
        <v>724</v>
      </c>
      <c r="D350" s="46" t="s">
        <v>731</v>
      </c>
      <c r="E350" s="33">
        <v>1500</v>
      </c>
      <c r="F350" s="33">
        <v>400</v>
      </c>
      <c r="G350" s="33">
        <v>40</v>
      </c>
      <c r="H350" s="33">
        <f t="shared" si="63"/>
        <v>1060</v>
      </c>
      <c r="I350" s="33">
        <v>440</v>
      </c>
      <c r="J350" s="33">
        <v>40</v>
      </c>
      <c r="K350" s="33">
        <v>1100</v>
      </c>
      <c r="L350" s="33">
        <v>440</v>
      </c>
      <c r="M350" s="33">
        <v>40</v>
      </c>
      <c r="N350" s="33">
        <v>40</v>
      </c>
      <c r="O350" s="82"/>
      <c r="Q350" s="82"/>
      <c r="R350" s="82"/>
      <c r="S350" s="82"/>
      <c r="T350" s="82"/>
      <c r="U350" s="82"/>
      <c r="V350" s="82"/>
      <c r="W350" s="82"/>
      <c r="X350" s="82"/>
      <c r="Y350" s="82"/>
      <c r="Z350" s="82"/>
    </row>
    <row r="351" spans="1:26" s="83" customFormat="1" ht="36.75" customHeight="1">
      <c r="A351" s="34"/>
      <c r="B351" s="75" t="s">
        <v>732</v>
      </c>
      <c r="C351" s="76" t="s">
        <v>156</v>
      </c>
      <c r="D351" s="46" t="s">
        <v>733</v>
      </c>
      <c r="E351" s="33">
        <v>1124</v>
      </c>
      <c r="F351" s="33"/>
      <c r="G351" s="33">
        <v>60</v>
      </c>
      <c r="H351" s="33">
        <f t="shared" si="63"/>
        <v>1064</v>
      </c>
      <c r="I351" s="33">
        <v>960</v>
      </c>
      <c r="J351" s="33">
        <v>60</v>
      </c>
      <c r="K351" s="33">
        <v>1021</v>
      </c>
      <c r="L351" s="33">
        <v>960</v>
      </c>
      <c r="M351" s="33">
        <v>60</v>
      </c>
      <c r="N351" s="33">
        <v>60</v>
      </c>
      <c r="O351" s="82"/>
      <c r="Q351" s="82"/>
      <c r="R351" s="82"/>
      <c r="S351" s="82"/>
      <c r="T351" s="82"/>
      <c r="U351" s="82"/>
      <c r="V351" s="82"/>
      <c r="W351" s="82"/>
      <c r="X351" s="82"/>
      <c r="Y351" s="82"/>
      <c r="Z351" s="82"/>
    </row>
    <row r="352" spans="1:26" s="83" customFormat="1" ht="36.75" customHeight="1">
      <c r="A352" s="34"/>
      <c r="B352" s="75" t="s">
        <v>734</v>
      </c>
      <c r="C352" s="76" t="s">
        <v>735</v>
      </c>
      <c r="D352" s="46" t="s">
        <v>736</v>
      </c>
      <c r="E352" s="33">
        <v>1098</v>
      </c>
      <c r="F352" s="33"/>
      <c r="G352" s="33">
        <v>109</v>
      </c>
      <c r="H352" s="33">
        <f t="shared" si="63"/>
        <v>989</v>
      </c>
      <c r="I352" s="33">
        <v>933</v>
      </c>
      <c r="J352" s="33">
        <v>109</v>
      </c>
      <c r="K352" s="33"/>
      <c r="L352" s="33">
        <v>933</v>
      </c>
      <c r="M352" s="33">
        <v>109</v>
      </c>
      <c r="N352" s="33">
        <v>109</v>
      </c>
      <c r="O352" s="82"/>
      <c r="Q352" s="82"/>
      <c r="R352" s="82"/>
      <c r="S352" s="82"/>
      <c r="T352" s="82"/>
      <c r="U352" s="82"/>
      <c r="V352" s="82"/>
      <c r="W352" s="82"/>
      <c r="X352" s="82"/>
      <c r="Y352" s="82"/>
      <c r="Z352" s="82"/>
    </row>
    <row r="353" spans="1:26" s="83" customFormat="1" ht="49.5">
      <c r="A353" s="34"/>
      <c r="B353" s="75" t="s">
        <v>737</v>
      </c>
      <c r="C353" s="76" t="s">
        <v>735</v>
      </c>
      <c r="D353" s="46" t="s">
        <v>738</v>
      </c>
      <c r="E353" s="33">
        <v>416</v>
      </c>
      <c r="F353" s="33"/>
      <c r="G353" s="33">
        <v>80</v>
      </c>
      <c r="H353" s="33">
        <f t="shared" si="63"/>
        <v>336</v>
      </c>
      <c r="I353" s="33">
        <v>368</v>
      </c>
      <c r="J353" s="33">
        <v>80</v>
      </c>
      <c r="K353" s="33">
        <v>393</v>
      </c>
      <c r="L353" s="33">
        <v>368</v>
      </c>
      <c r="M353" s="33">
        <v>80</v>
      </c>
      <c r="N353" s="33">
        <v>80</v>
      </c>
      <c r="O353" s="33"/>
      <c r="Q353" s="82"/>
      <c r="R353" s="82"/>
      <c r="S353" s="82"/>
      <c r="T353" s="82"/>
      <c r="U353" s="82"/>
      <c r="V353" s="82"/>
      <c r="W353" s="82"/>
      <c r="X353" s="82"/>
      <c r="Y353" s="82"/>
      <c r="Z353" s="82"/>
    </row>
    <row r="354" spans="1:26" s="83" customFormat="1" ht="33">
      <c r="A354" s="34"/>
      <c r="B354" s="75" t="s">
        <v>739</v>
      </c>
      <c r="C354" s="76" t="s">
        <v>735</v>
      </c>
      <c r="D354" s="46" t="s">
        <v>740</v>
      </c>
      <c r="E354" s="33">
        <v>890</v>
      </c>
      <c r="F354" s="33"/>
      <c r="G354" s="33">
        <v>100</v>
      </c>
      <c r="H354" s="33">
        <f t="shared" si="63"/>
        <v>790</v>
      </c>
      <c r="I354" s="33">
        <v>728</v>
      </c>
      <c r="J354" s="33">
        <v>100</v>
      </c>
      <c r="K354" s="33">
        <v>800</v>
      </c>
      <c r="L354" s="33">
        <v>728</v>
      </c>
      <c r="M354" s="33">
        <v>100</v>
      </c>
      <c r="N354" s="33">
        <v>100</v>
      </c>
      <c r="O354" s="33"/>
      <c r="Q354" s="82"/>
      <c r="R354" s="82"/>
      <c r="S354" s="82"/>
      <c r="T354" s="82"/>
      <c r="U354" s="82"/>
      <c r="V354" s="82"/>
      <c r="W354" s="82"/>
      <c r="X354" s="82"/>
      <c r="Y354" s="82"/>
      <c r="Z354" s="82"/>
    </row>
    <row r="355" spans="1:26" s="210" customFormat="1" ht="16.5">
      <c r="A355" s="254" t="s">
        <v>756</v>
      </c>
      <c r="B355" s="255" t="s">
        <v>759</v>
      </c>
      <c r="C355" s="248"/>
      <c r="D355" s="248"/>
      <c r="E355" s="72">
        <f t="shared" ref="E355:L355" si="64">E358</f>
        <v>0</v>
      </c>
      <c r="F355" s="72">
        <f t="shared" si="64"/>
        <v>0</v>
      </c>
      <c r="G355" s="72">
        <f t="shared" si="64"/>
        <v>0</v>
      </c>
      <c r="H355" s="72">
        <f t="shared" si="64"/>
        <v>0</v>
      </c>
      <c r="I355" s="72">
        <f t="shared" si="64"/>
        <v>0</v>
      </c>
      <c r="J355" s="72">
        <f t="shared" si="64"/>
        <v>1946</v>
      </c>
      <c r="K355" s="72">
        <f t="shared" si="64"/>
        <v>0</v>
      </c>
      <c r="L355" s="72">
        <f t="shared" si="64"/>
        <v>0</v>
      </c>
      <c r="M355" s="72">
        <f>M358</f>
        <v>0</v>
      </c>
      <c r="N355" s="72">
        <f>N358</f>
        <v>1946</v>
      </c>
      <c r="O355" s="256"/>
      <c r="Q355" s="82"/>
      <c r="R355" s="82"/>
      <c r="S355" s="82"/>
      <c r="T355" s="82"/>
      <c r="U355" s="82"/>
      <c r="V355" s="82"/>
      <c r="W355" s="82"/>
      <c r="X355" s="82"/>
      <c r="Y355" s="82"/>
      <c r="Z355" s="82"/>
    </row>
    <row r="356" spans="1:26" s="210" customFormat="1" ht="49.5">
      <c r="A356" s="246" t="s">
        <v>21</v>
      </c>
      <c r="B356" s="73" t="s">
        <v>379</v>
      </c>
      <c r="C356" s="247"/>
      <c r="D356" s="257"/>
      <c r="E356" s="37"/>
      <c r="F356" s="37"/>
      <c r="G356" s="37"/>
      <c r="H356" s="37"/>
      <c r="I356" s="37"/>
      <c r="J356" s="37"/>
      <c r="K356" s="37"/>
      <c r="L356" s="37"/>
      <c r="M356" s="37"/>
      <c r="N356" s="37"/>
      <c r="O356" s="211"/>
      <c r="Q356" s="82"/>
      <c r="R356" s="82"/>
      <c r="S356" s="82"/>
      <c r="T356" s="82"/>
      <c r="U356" s="82"/>
      <c r="V356" s="82"/>
      <c r="W356" s="82"/>
      <c r="X356" s="82"/>
      <c r="Y356" s="82"/>
      <c r="Z356" s="82"/>
    </row>
    <row r="357" spans="1:26" s="210" customFormat="1" ht="33">
      <c r="A357" s="246" t="s">
        <v>28</v>
      </c>
      <c r="B357" s="22" t="s">
        <v>141</v>
      </c>
      <c r="C357" s="23"/>
      <c r="D357" s="24"/>
      <c r="E357" s="25"/>
      <c r="F357" s="25"/>
      <c r="G357" s="25"/>
      <c r="H357" s="25"/>
      <c r="I357" s="25"/>
      <c r="J357" s="25"/>
      <c r="K357" s="25"/>
      <c r="L357" s="25"/>
      <c r="M357" s="25"/>
      <c r="N357" s="25"/>
      <c r="O357" s="211"/>
      <c r="Q357" s="82"/>
      <c r="R357" s="82"/>
      <c r="S357" s="82"/>
      <c r="T357" s="82"/>
      <c r="U357" s="82"/>
      <c r="V357" s="82"/>
      <c r="W357" s="82"/>
      <c r="X357" s="82"/>
      <c r="Y357" s="82"/>
      <c r="Z357" s="82"/>
    </row>
    <row r="358" spans="1:26" s="210" customFormat="1" ht="36.75" customHeight="1">
      <c r="A358" s="246" t="s">
        <v>28</v>
      </c>
      <c r="B358" s="22" t="s">
        <v>335</v>
      </c>
      <c r="C358" s="23"/>
      <c r="D358" s="24"/>
      <c r="E358" s="25">
        <f t="shared" ref="E358:N358" si="65">SUM(E359:E361)</f>
        <v>0</v>
      </c>
      <c r="F358" s="25">
        <f t="shared" si="65"/>
        <v>0</v>
      </c>
      <c r="G358" s="25">
        <f t="shared" si="65"/>
        <v>0</v>
      </c>
      <c r="H358" s="25">
        <f t="shared" si="65"/>
        <v>0</v>
      </c>
      <c r="I358" s="25">
        <f t="shared" si="65"/>
        <v>0</v>
      </c>
      <c r="J358" s="25">
        <f t="shared" si="65"/>
        <v>1946</v>
      </c>
      <c r="K358" s="25">
        <f t="shared" si="65"/>
        <v>0</v>
      </c>
      <c r="L358" s="25">
        <f t="shared" si="65"/>
        <v>0</v>
      </c>
      <c r="M358" s="25">
        <f t="shared" si="65"/>
        <v>0</v>
      </c>
      <c r="N358" s="25">
        <f t="shared" si="65"/>
        <v>1946</v>
      </c>
      <c r="O358" s="211"/>
      <c r="Q358" s="82"/>
      <c r="R358" s="82"/>
      <c r="S358" s="82"/>
      <c r="T358" s="82"/>
      <c r="U358" s="82"/>
      <c r="V358" s="82"/>
      <c r="W358" s="82"/>
      <c r="X358" s="82"/>
      <c r="Y358" s="82"/>
      <c r="Z358" s="82"/>
    </row>
    <row r="359" spans="1:26" s="83" customFormat="1" ht="33">
      <c r="A359" s="114"/>
      <c r="B359" s="58" t="s">
        <v>760</v>
      </c>
      <c r="C359" s="64" t="s">
        <v>762</v>
      </c>
      <c r="D359" s="109"/>
      <c r="E359" s="91"/>
      <c r="F359" s="47"/>
      <c r="G359" s="164"/>
      <c r="H359" s="144"/>
      <c r="I359" s="113"/>
      <c r="J359" s="113">
        <v>1300</v>
      </c>
      <c r="K359" s="113"/>
      <c r="L359" s="113"/>
      <c r="M359" s="113"/>
      <c r="N359" s="113">
        <f>800+500</f>
        <v>1300</v>
      </c>
      <c r="O359" s="163"/>
      <c r="Q359" s="82"/>
      <c r="R359" s="82"/>
      <c r="S359" s="82"/>
      <c r="T359" s="82"/>
      <c r="U359" s="82"/>
      <c r="V359" s="82"/>
      <c r="W359" s="82"/>
      <c r="X359" s="82">
        <f>600+500</f>
        <v>1100</v>
      </c>
      <c r="Y359" s="82"/>
      <c r="Z359" s="82"/>
    </row>
    <row r="360" spans="1:26" s="83" customFormat="1" ht="63">
      <c r="A360" s="114"/>
      <c r="B360" s="252" t="s">
        <v>761</v>
      </c>
      <c r="C360" s="64" t="s">
        <v>762</v>
      </c>
      <c r="D360" s="109"/>
      <c r="E360" s="91"/>
      <c r="F360" s="47"/>
      <c r="G360" s="164"/>
      <c r="H360" s="144"/>
      <c r="I360" s="113"/>
      <c r="J360" s="113">
        <v>196</v>
      </c>
      <c r="K360" s="113"/>
      <c r="L360" s="113"/>
      <c r="M360" s="113"/>
      <c r="N360" s="113">
        <v>196</v>
      </c>
      <c r="O360" s="163"/>
      <c r="Q360" s="82"/>
      <c r="R360" s="82"/>
      <c r="S360" s="82"/>
      <c r="T360" s="82"/>
      <c r="U360" s="82"/>
      <c r="V360" s="82"/>
      <c r="W360" s="82"/>
      <c r="X360" s="82">
        <v>196</v>
      </c>
      <c r="Y360" s="82"/>
      <c r="Z360" s="82"/>
    </row>
    <row r="361" spans="1:26" s="83" customFormat="1" ht="60">
      <c r="A361" s="114"/>
      <c r="B361" s="287" t="s">
        <v>776</v>
      </c>
      <c r="C361" s="64" t="s">
        <v>762</v>
      </c>
      <c r="D361" s="109"/>
      <c r="E361" s="91"/>
      <c r="F361" s="47"/>
      <c r="G361" s="164"/>
      <c r="H361" s="144"/>
      <c r="I361" s="113"/>
      <c r="J361" s="113">
        <v>450</v>
      </c>
      <c r="K361" s="113"/>
      <c r="L361" s="113"/>
      <c r="M361" s="113"/>
      <c r="N361" s="113">
        <v>450</v>
      </c>
      <c r="O361" s="163"/>
      <c r="P361" s="83">
        <v>1</v>
      </c>
      <c r="Q361" s="82"/>
      <c r="R361" s="82"/>
      <c r="S361" s="82"/>
      <c r="T361" s="82"/>
      <c r="U361" s="82"/>
      <c r="V361" s="82"/>
      <c r="W361" s="82"/>
      <c r="X361" s="82">
        <v>450</v>
      </c>
      <c r="Y361" s="82"/>
      <c r="Z361" s="82"/>
    </row>
    <row r="362" spans="1:26" ht="18.75">
      <c r="J362" s="487"/>
      <c r="K362" s="487"/>
      <c r="L362" s="487"/>
      <c r="M362" s="487"/>
      <c r="N362" s="487"/>
      <c r="O362" s="487"/>
    </row>
    <row r="363" spans="1:26" s="243" customFormat="1" ht="20.25" customHeight="1">
      <c r="A363" s="488"/>
      <c r="B363" s="488"/>
      <c r="C363" s="488"/>
      <c r="D363" s="488"/>
      <c r="E363" s="489"/>
      <c r="F363" s="489"/>
      <c r="G363" s="489"/>
      <c r="H363" s="489"/>
      <c r="I363" s="489"/>
      <c r="J363" s="489"/>
      <c r="K363" s="489"/>
      <c r="L363" s="489"/>
      <c r="M363" s="489"/>
      <c r="N363" s="489"/>
      <c r="O363" s="489"/>
      <c r="Q363" s="201"/>
      <c r="R363" s="201"/>
      <c r="S363" s="201"/>
      <c r="T363" s="201"/>
      <c r="U363" s="201"/>
      <c r="V363" s="201"/>
      <c r="W363" s="201"/>
      <c r="X363" s="201"/>
      <c r="Y363" s="201"/>
      <c r="Z363" s="201"/>
    </row>
    <row r="369" spans="1:26" s="84" customFormat="1" ht="29.25" customHeight="1">
      <c r="A369" s="490"/>
      <c r="B369" s="490"/>
      <c r="C369" s="490"/>
      <c r="D369" s="490"/>
      <c r="E369" s="491"/>
      <c r="F369" s="491"/>
      <c r="G369" s="491"/>
      <c r="H369" s="491"/>
      <c r="I369" s="491"/>
      <c r="J369" s="491"/>
      <c r="K369" s="491"/>
      <c r="L369" s="491"/>
      <c r="M369" s="491"/>
      <c r="N369" s="491"/>
      <c r="O369" s="491"/>
      <c r="Q369" s="335"/>
      <c r="R369" s="335"/>
      <c r="S369" s="335"/>
      <c r="T369" s="335"/>
      <c r="U369" s="335"/>
      <c r="V369" s="335"/>
      <c r="W369" s="335"/>
      <c r="X369" s="335"/>
      <c r="Y369" s="335"/>
      <c r="Z369" s="335"/>
    </row>
  </sheetData>
  <autoFilter ref="A10:IW361"/>
  <mergeCells count="27">
    <mergeCell ref="A1:B1"/>
    <mergeCell ref="A2:B2"/>
    <mergeCell ref="J363:O363"/>
    <mergeCell ref="J362:O362"/>
    <mergeCell ref="A369:D369"/>
    <mergeCell ref="E369:I369"/>
    <mergeCell ref="J369:O369"/>
    <mergeCell ref="D8:D9"/>
    <mergeCell ref="E8:E9"/>
    <mergeCell ref="F8:H8"/>
    <mergeCell ref="I8:I9"/>
    <mergeCell ref="A363:D363"/>
    <mergeCell ref="E363:I363"/>
    <mergeCell ref="A5:O5"/>
    <mergeCell ref="M6:O6"/>
    <mergeCell ref="J8:J9"/>
    <mergeCell ref="L8:L9"/>
    <mergeCell ref="M8:N8"/>
    <mergeCell ref="A4:O4"/>
    <mergeCell ref="A7:A9"/>
    <mergeCell ref="B7:B9"/>
    <mergeCell ref="C7:C9"/>
    <mergeCell ref="D7:H7"/>
    <mergeCell ref="I7:J7"/>
    <mergeCell ref="K7:K9"/>
    <mergeCell ref="L7:N7"/>
    <mergeCell ref="O7:O9"/>
  </mergeCells>
  <pageMargins left="0.7" right="0.16" top="0.53" bottom="0.45" header="0.3" footer="0.3"/>
  <pageSetup paperSize="9" scale="65" orientation="landscape" r:id="rId1"/>
  <ignoredErrors>
    <ignoredError sqref="C144 A230:A233 A196:A210 C139:C142" numberStoredAsText="1"/>
    <ignoredError sqref="M16:N27 M162:M16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Y55"/>
  <sheetViews>
    <sheetView view="pageBreakPreview" topLeftCell="A27" zoomScale="55" zoomScaleNormal="70" zoomScaleSheetLayoutView="55" workbookViewId="0">
      <selection activeCell="B31" sqref="B31"/>
    </sheetView>
  </sheetViews>
  <sheetFormatPr defaultColWidth="8.85546875" defaultRowHeight="15.75"/>
  <cols>
    <col min="1" max="1" width="9.140625" style="325"/>
    <col min="2" max="2" width="38.140625" style="325" customWidth="1"/>
    <col min="3" max="4" width="11.85546875" style="325" customWidth="1"/>
    <col min="5" max="5" width="9.140625" style="326"/>
    <col min="6" max="7" width="13.140625" style="325" customWidth="1"/>
    <col min="8" max="9" width="11.85546875" style="325" customWidth="1"/>
    <col min="10" max="11" width="11.42578125" style="325" customWidth="1"/>
    <col min="12" max="13" width="10.85546875" style="325" customWidth="1"/>
    <col min="14" max="15" width="9.42578125" style="357" customWidth="1"/>
    <col min="16" max="16" width="10.42578125" style="357" customWidth="1"/>
    <col min="17" max="17" width="10" style="357" customWidth="1"/>
    <col min="18" max="18" width="11.42578125" style="357" customWidth="1"/>
    <col min="19" max="19" width="9.42578125" style="357" customWidth="1"/>
    <col min="20" max="20" width="11" style="357" customWidth="1"/>
    <col min="21" max="21" width="9.42578125" style="357" customWidth="1"/>
    <col min="22" max="22" width="12.85546875" style="325" customWidth="1"/>
    <col min="23" max="24" width="9.140625" style="325"/>
    <col min="25" max="26" width="11.140625" style="325" bestFit="1" customWidth="1"/>
    <col min="27" max="254" width="9.140625" style="325"/>
    <col min="255" max="255" width="38.140625" style="325" customWidth="1"/>
    <col min="256" max="257" width="11.85546875" style="325" customWidth="1"/>
    <col min="258" max="258" width="9.140625" style="325"/>
    <col min="259" max="259" width="13.140625" style="325" customWidth="1"/>
    <col min="260" max="260" width="11.85546875" style="325" customWidth="1"/>
    <col min="261" max="261" width="11.42578125" style="325" customWidth="1"/>
    <col min="262" max="262" width="10.42578125" style="325" customWidth="1"/>
    <col min="263" max="263" width="10.85546875" style="325" customWidth="1"/>
    <col min="264" max="265" width="0" style="325" hidden="1" customWidth="1"/>
    <col min="266" max="269" width="10.85546875" style="325" customWidth="1"/>
    <col min="270" max="270" width="11.42578125" style="325" customWidth="1"/>
    <col min="271" max="271" width="12" style="325" customWidth="1"/>
    <col min="272" max="272" width="11.85546875" style="325" customWidth="1"/>
    <col min="273" max="273" width="9.5703125" style="325" customWidth="1"/>
    <col min="274" max="274" width="11.42578125" style="325" customWidth="1"/>
    <col min="275" max="275" width="11" style="325" customWidth="1"/>
    <col min="276" max="276" width="11.5703125" style="325" customWidth="1"/>
    <col min="277" max="277" width="10.140625" style="325" customWidth="1"/>
    <col min="278" max="278" width="12.85546875" style="325" customWidth="1"/>
    <col min="279" max="510" width="9.140625" style="325"/>
    <col min="511" max="511" width="38.140625" style="325" customWidth="1"/>
    <col min="512" max="513" width="11.85546875" style="325" customWidth="1"/>
    <col min="514" max="514" width="9.140625" style="325"/>
    <col min="515" max="515" width="13.140625" style="325" customWidth="1"/>
    <col min="516" max="516" width="11.85546875" style="325" customWidth="1"/>
    <col min="517" max="517" width="11.42578125" style="325" customWidth="1"/>
    <col min="518" max="518" width="10.42578125" style="325" customWidth="1"/>
    <col min="519" max="519" width="10.85546875" style="325" customWidth="1"/>
    <col min="520" max="521" width="0" style="325" hidden="1" customWidth="1"/>
    <col min="522" max="525" width="10.85546875" style="325" customWidth="1"/>
    <col min="526" max="526" width="11.42578125" style="325" customWidth="1"/>
    <col min="527" max="527" width="12" style="325" customWidth="1"/>
    <col min="528" max="528" width="11.85546875" style="325" customWidth="1"/>
    <col min="529" max="529" width="9.5703125" style="325" customWidth="1"/>
    <col min="530" max="530" width="11.42578125" style="325" customWidth="1"/>
    <col min="531" max="531" width="11" style="325" customWidth="1"/>
    <col min="532" max="532" width="11.5703125" style="325" customWidth="1"/>
    <col min="533" max="533" width="10.140625" style="325" customWidth="1"/>
    <col min="534" max="534" width="12.85546875" style="325" customWidth="1"/>
    <col min="535" max="766" width="9.140625" style="325"/>
    <col min="767" max="767" width="38.140625" style="325" customWidth="1"/>
    <col min="768" max="769" width="11.85546875" style="325" customWidth="1"/>
    <col min="770" max="770" width="9.140625" style="325"/>
    <col min="771" max="771" width="13.140625" style="325" customWidth="1"/>
    <col min="772" max="772" width="11.85546875" style="325" customWidth="1"/>
    <col min="773" max="773" width="11.42578125" style="325" customWidth="1"/>
    <col min="774" max="774" width="10.42578125" style="325" customWidth="1"/>
    <col min="775" max="775" width="10.85546875" style="325" customWidth="1"/>
    <col min="776" max="777" width="0" style="325" hidden="1" customWidth="1"/>
    <col min="778" max="781" width="10.85546875" style="325" customWidth="1"/>
    <col min="782" max="782" width="11.42578125" style="325" customWidth="1"/>
    <col min="783" max="783" width="12" style="325" customWidth="1"/>
    <col min="784" max="784" width="11.85546875" style="325" customWidth="1"/>
    <col min="785" max="785" width="9.5703125" style="325" customWidth="1"/>
    <col min="786" max="786" width="11.42578125" style="325" customWidth="1"/>
    <col min="787" max="787" width="11" style="325" customWidth="1"/>
    <col min="788" max="788" width="11.5703125" style="325" customWidth="1"/>
    <col min="789" max="789" width="10.140625" style="325" customWidth="1"/>
    <col min="790" max="790" width="12.85546875" style="325" customWidth="1"/>
    <col min="791" max="1022" width="9.140625" style="325"/>
    <col min="1023" max="1023" width="38.140625" style="325" customWidth="1"/>
    <col min="1024" max="1025" width="11.85546875" style="325" customWidth="1"/>
    <col min="1026" max="1026" width="9.140625" style="325"/>
    <col min="1027" max="1027" width="13.140625" style="325" customWidth="1"/>
    <col min="1028" max="1028" width="11.85546875" style="325" customWidth="1"/>
    <col min="1029" max="1029" width="11.42578125" style="325" customWidth="1"/>
    <col min="1030" max="1030" width="10.42578125" style="325" customWidth="1"/>
    <col min="1031" max="1031" width="10.85546875" style="325" customWidth="1"/>
    <col min="1032" max="1033" width="0" style="325" hidden="1" customWidth="1"/>
    <col min="1034" max="1037" width="10.85546875" style="325" customWidth="1"/>
    <col min="1038" max="1038" width="11.42578125" style="325" customWidth="1"/>
    <col min="1039" max="1039" width="12" style="325" customWidth="1"/>
    <col min="1040" max="1040" width="11.85546875" style="325" customWidth="1"/>
    <col min="1041" max="1041" width="9.5703125" style="325" customWidth="1"/>
    <col min="1042" max="1042" width="11.42578125" style="325" customWidth="1"/>
    <col min="1043" max="1043" width="11" style="325" customWidth="1"/>
    <col min="1044" max="1044" width="11.5703125" style="325" customWidth="1"/>
    <col min="1045" max="1045" width="10.140625" style="325" customWidth="1"/>
    <col min="1046" max="1046" width="12.85546875" style="325" customWidth="1"/>
    <col min="1047" max="1278" width="9.140625" style="325"/>
    <col min="1279" max="1279" width="38.140625" style="325" customWidth="1"/>
    <col min="1280" max="1281" width="11.85546875" style="325" customWidth="1"/>
    <col min="1282" max="1282" width="9.140625" style="325"/>
    <col min="1283" max="1283" width="13.140625" style="325" customWidth="1"/>
    <col min="1284" max="1284" width="11.85546875" style="325" customWidth="1"/>
    <col min="1285" max="1285" width="11.42578125" style="325" customWidth="1"/>
    <col min="1286" max="1286" width="10.42578125" style="325" customWidth="1"/>
    <col min="1287" max="1287" width="10.85546875" style="325" customWidth="1"/>
    <col min="1288" max="1289" width="0" style="325" hidden="1" customWidth="1"/>
    <col min="1290" max="1293" width="10.85546875" style="325" customWidth="1"/>
    <col min="1294" max="1294" width="11.42578125" style="325" customWidth="1"/>
    <col min="1295" max="1295" width="12" style="325" customWidth="1"/>
    <col min="1296" max="1296" width="11.85546875" style="325" customWidth="1"/>
    <col min="1297" max="1297" width="9.5703125" style="325" customWidth="1"/>
    <col min="1298" max="1298" width="11.42578125" style="325" customWidth="1"/>
    <col min="1299" max="1299" width="11" style="325" customWidth="1"/>
    <col min="1300" max="1300" width="11.5703125" style="325" customWidth="1"/>
    <col min="1301" max="1301" width="10.140625" style="325" customWidth="1"/>
    <col min="1302" max="1302" width="12.85546875" style="325" customWidth="1"/>
    <col min="1303" max="1534" width="9.140625" style="325"/>
    <col min="1535" max="1535" width="38.140625" style="325" customWidth="1"/>
    <col min="1536" max="1537" width="11.85546875" style="325" customWidth="1"/>
    <col min="1538" max="1538" width="9.140625" style="325"/>
    <col min="1539" max="1539" width="13.140625" style="325" customWidth="1"/>
    <col min="1540" max="1540" width="11.85546875" style="325" customWidth="1"/>
    <col min="1541" max="1541" width="11.42578125" style="325" customWidth="1"/>
    <col min="1542" max="1542" width="10.42578125" style="325" customWidth="1"/>
    <col min="1543" max="1543" width="10.85546875" style="325" customWidth="1"/>
    <col min="1544" max="1545" width="0" style="325" hidden="1" customWidth="1"/>
    <col min="1546" max="1549" width="10.85546875" style="325" customWidth="1"/>
    <col min="1550" max="1550" width="11.42578125" style="325" customWidth="1"/>
    <col min="1551" max="1551" width="12" style="325" customWidth="1"/>
    <col min="1552" max="1552" width="11.85546875" style="325" customWidth="1"/>
    <col min="1553" max="1553" width="9.5703125" style="325" customWidth="1"/>
    <col min="1554" max="1554" width="11.42578125" style="325" customWidth="1"/>
    <col min="1555" max="1555" width="11" style="325" customWidth="1"/>
    <col min="1556" max="1556" width="11.5703125" style="325" customWidth="1"/>
    <col min="1557" max="1557" width="10.140625" style="325" customWidth="1"/>
    <col min="1558" max="1558" width="12.85546875" style="325" customWidth="1"/>
    <col min="1559" max="1790" width="9.140625" style="325"/>
    <col min="1791" max="1791" width="38.140625" style="325" customWidth="1"/>
    <col min="1792" max="1793" width="11.85546875" style="325" customWidth="1"/>
    <col min="1794" max="1794" width="9.140625" style="325"/>
    <col min="1795" max="1795" width="13.140625" style="325" customWidth="1"/>
    <col min="1796" max="1796" width="11.85546875" style="325" customWidth="1"/>
    <col min="1797" max="1797" width="11.42578125" style="325" customWidth="1"/>
    <col min="1798" max="1798" width="10.42578125" style="325" customWidth="1"/>
    <col min="1799" max="1799" width="10.85546875" style="325" customWidth="1"/>
    <col min="1800" max="1801" width="0" style="325" hidden="1" customWidth="1"/>
    <col min="1802" max="1805" width="10.85546875" style="325" customWidth="1"/>
    <col min="1806" max="1806" width="11.42578125" style="325" customWidth="1"/>
    <col min="1807" max="1807" width="12" style="325" customWidth="1"/>
    <col min="1808" max="1808" width="11.85546875" style="325" customWidth="1"/>
    <col min="1809" max="1809" width="9.5703125" style="325" customWidth="1"/>
    <col min="1810" max="1810" width="11.42578125" style="325" customWidth="1"/>
    <col min="1811" max="1811" width="11" style="325" customWidth="1"/>
    <col min="1812" max="1812" width="11.5703125" style="325" customWidth="1"/>
    <col min="1813" max="1813" width="10.140625" style="325" customWidth="1"/>
    <col min="1814" max="1814" width="12.85546875" style="325" customWidth="1"/>
    <col min="1815" max="2046" width="9.140625" style="325"/>
    <col min="2047" max="2047" width="38.140625" style="325" customWidth="1"/>
    <col min="2048" max="2049" width="11.85546875" style="325" customWidth="1"/>
    <col min="2050" max="2050" width="9.140625" style="325"/>
    <col min="2051" max="2051" width="13.140625" style="325" customWidth="1"/>
    <col min="2052" max="2052" width="11.85546875" style="325" customWidth="1"/>
    <col min="2053" max="2053" width="11.42578125" style="325" customWidth="1"/>
    <col min="2054" max="2054" width="10.42578125" style="325" customWidth="1"/>
    <col min="2055" max="2055" width="10.85546875" style="325" customWidth="1"/>
    <col min="2056" max="2057" width="0" style="325" hidden="1" customWidth="1"/>
    <col min="2058" max="2061" width="10.85546875" style="325" customWidth="1"/>
    <col min="2062" max="2062" width="11.42578125" style="325" customWidth="1"/>
    <col min="2063" max="2063" width="12" style="325" customWidth="1"/>
    <col min="2064" max="2064" width="11.85546875" style="325" customWidth="1"/>
    <col min="2065" max="2065" width="9.5703125" style="325" customWidth="1"/>
    <col min="2066" max="2066" width="11.42578125" style="325" customWidth="1"/>
    <col min="2067" max="2067" width="11" style="325" customWidth="1"/>
    <col min="2068" max="2068" width="11.5703125" style="325" customWidth="1"/>
    <col min="2069" max="2069" width="10.140625" style="325" customWidth="1"/>
    <col min="2070" max="2070" width="12.85546875" style="325" customWidth="1"/>
    <col min="2071" max="2302" width="9.140625" style="325"/>
    <col min="2303" max="2303" width="38.140625" style="325" customWidth="1"/>
    <col min="2304" max="2305" width="11.85546875" style="325" customWidth="1"/>
    <col min="2306" max="2306" width="9.140625" style="325"/>
    <col min="2307" max="2307" width="13.140625" style="325" customWidth="1"/>
    <col min="2308" max="2308" width="11.85546875" style="325" customWidth="1"/>
    <col min="2309" max="2309" width="11.42578125" style="325" customWidth="1"/>
    <col min="2310" max="2310" width="10.42578125" style="325" customWidth="1"/>
    <col min="2311" max="2311" width="10.85546875" style="325" customWidth="1"/>
    <col min="2312" max="2313" width="0" style="325" hidden="1" customWidth="1"/>
    <col min="2314" max="2317" width="10.85546875" style="325" customWidth="1"/>
    <col min="2318" max="2318" width="11.42578125" style="325" customWidth="1"/>
    <col min="2319" max="2319" width="12" style="325" customWidth="1"/>
    <col min="2320" max="2320" width="11.85546875" style="325" customWidth="1"/>
    <col min="2321" max="2321" width="9.5703125" style="325" customWidth="1"/>
    <col min="2322" max="2322" width="11.42578125" style="325" customWidth="1"/>
    <col min="2323" max="2323" width="11" style="325" customWidth="1"/>
    <col min="2324" max="2324" width="11.5703125" style="325" customWidth="1"/>
    <col min="2325" max="2325" width="10.140625" style="325" customWidth="1"/>
    <col min="2326" max="2326" width="12.85546875" style="325" customWidth="1"/>
    <col min="2327" max="2558" width="9.140625" style="325"/>
    <col min="2559" max="2559" width="38.140625" style="325" customWidth="1"/>
    <col min="2560" max="2561" width="11.85546875" style="325" customWidth="1"/>
    <col min="2562" max="2562" width="9.140625" style="325"/>
    <col min="2563" max="2563" width="13.140625" style="325" customWidth="1"/>
    <col min="2564" max="2564" width="11.85546875" style="325" customWidth="1"/>
    <col min="2565" max="2565" width="11.42578125" style="325" customWidth="1"/>
    <col min="2566" max="2566" width="10.42578125" style="325" customWidth="1"/>
    <col min="2567" max="2567" width="10.85546875" style="325" customWidth="1"/>
    <col min="2568" max="2569" width="0" style="325" hidden="1" customWidth="1"/>
    <col min="2570" max="2573" width="10.85546875" style="325" customWidth="1"/>
    <col min="2574" max="2574" width="11.42578125" style="325" customWidth="1"/>
    <col min="2575" max="2575" width="12" style="325" customWidth="1"/>
    <col min="2576" max="2576" width="11.85546875" style="325" customWidth="1"/>
    <col min="2577" max="2577" width="9.5703125" style="325" customWidth="1"/>
    <col min="2578" max="2578" width="11.42578125" style="325" customWidth="1"/>
    <col min="2579" max="2579" width="11" style="325" customWidth="1"/>
    <col min="2580" max="2580" width="11.5703125" style="325" customWidth="1"/>
    <col min="2581" max="2581" width="10.140625" style="325" customWidth="1"/>
    <col min="2582" max="2582" width="12.85546875" style="325" customWidth="1"/>
    <col min="2583" max="2814" width="9.140625" style="325"/>
    <col min="2815" max="2815" width="38.140625" style="325" customWidth="1"/>
    <col min="2816" max="2817" width="11.85546875" style="325" customWidth="1"/>
    <col min="2818" max="2818" width="9.140625" style="325"/>
    <col min="2819" max="2819" width="13.140625" style="325" customWidth="1"/>
    <col min="2820" max="2820" width="11.85546875" style="325" customWidth="1"/>
    <col min="2821" max="2821" width="11.42578125" style="325" customWidth="1"/>
    <col min="2822" max="2822" width="10.42578125" style="325" customWidth="1"/>
    <col min="2823" max="2823" width="10.85546875" style="325" customWidth="1"/>
    <col min="2824" max="2825" width="0" style="325" hidden="1" customWidth="1"/>
    <col min="2826" max="2829" width="10.85546875" style="325" customWidth="1"/>
    <col min="2830" max="2830" width="11.42578125" style="325" customWidth="1"/>
    <col min="2831" max="2831" width="12" style="325" customWidth="1"/>
    <col min="2832" max="2832" width="11.85546875" style="325" customWidth="1"/>
    <col min="2833" max="2833" width="9.5703125" style="325" customWidth="1"/>
    <col min="2834" max="2834" width="11.42578125" style="325" customWidth="1"/>
    <col min="2835" max="2835" width="11" style="325" customWidth="1"/>
    <col min="2836" max="2836" width="11.5703125" style="325" customWidth="1"/>
    <col min="2837" max="2837" width="10.140625" style="325" customWidth="1"/>
    <col min="2838" max="2838" width="12.85546875" style="325" customWidth="1"/>
    <col min="2839" max="3070" width="9.140625" style="325"/>
    <col min="3071" max="3071" width="38.140625" style="325" customWidth="1"/>
    <col min="3072" max="3073" width="11.85546875" style="325" customWidth="1"/>
    <col min="3074" max="3074" width="9.140625" style="325"/>
    <col min="3075" max="3075" width="13.140625" style="325" customWidth="1"/>
    <col min="3076" max="3076" width="11.85546875" style="325" customWidth="1"/>
    <col min="3077" max="3077" width="11.42578125" style="325" customWidth="1"/>
    <col min="3078" max="3078" width="10.42578125" style="325" customWidth="1"/>
    <col min="3079" max="3079" width="10.85546875" style="325" customWidth="1"/>
    <col min="3080" max="3081" width="0" style="325" hidden="1" customWidth="1"/>
    <col min="3082" max="3085" width="10.85546875" style="325" customWidth="1"/>
    <col min="3086" max="3086" width="11.42578125" style="325" customWidth="1"/>
    <col min="3087" max="3087" width="12" style="325" customWidth="1"/>
    <col min="3088" max="3088" width="11.85546875" style="325" customWidth="1"/>
    <col min="3089" max="3089" width="9.5703125" style="325" customWidth="1"/>
    <col min="3090" max="3090" width="11.42578125" style="325" customWidth="1"/>
    <col min="3091" max="3091" width="11" style="325" customWidth="1"/>
    <col min="3092" max="3092" width="11.5703125" style="325" customWidth="1"/>
    <col min="3093" max="3093" width="10.140625" style="325" customWidth="1"/>
    <col min="3094" max="3094" width="12.85546875" style="325" customWidth="1"/>
    <col min="3095" max="3326" width="9.140625" style="325"/>
    <col min="3327" max="3327" width="38.140625" style="325" customWidth="1"/>
    <col min="3328" max="3329" width="11.85546875" style="325" customWidth="1"/>
    <col min="3330" max="3330" width="9.140625" style="325"/>
    <col min="3331" max="3331" width="13.140625" style="325" customWidth="1"/>
    <col min="3332" max="3332" width="11.85546875" style="325" customWidth="1"/>
    <col min="3333" max="3333" width="11.42578125" style="325" customWidth="1"/>
    <col min="3334" max="3334" width="10.42578125" style="325" customWidth="1"/>
    <col min="3335" max="3335" width="10.85546875" style="325" customWidth="1"/>
    <col min="3336" max="3337" width="0" style="325" hidden="1" customWidth="1"/>
    <col min="3338" max="3341" width="10.85546875" style="325" customWidth="1"/>
    <col min="3342" max="3342" width="11.42578125" style="325" customWidth="1"/>
    <col min="3343" max="3343" width="12" style="325" customWidth="1"/>
    <col min="3344" max="3344" width="11.85546875" style="325" customWidth="1"/>
    <col min="3345" max="3345" width="9.5703125" style="325" customWidth="1"/>
    <col min="3346" max="3346" width="11.42578125" style="325" customWidth="1"/>
    <col min="3347" max="3347" width="11" style="325" customWidth="1"/>
    <col min="3348" max="3348" width="11.5703125" style="325" customWidth="1"/>
    <col min="3349" max="3349" width="10.140625" style="325" customWidth="1"/>
    <col min="3350" max="3350" width="12.85546875" style="325" customWidth="1"/>
    <col min="3351" max="3582" width="9.140625" style="325"/>
    <col min="3583" max="3583" width="38.140625" style="325" customWidth="1"/>
    <col min="3584" max="3585" width="11.85546875" style="325" customWidth="1"/>
    <col min="3586" max="3586" width="9.140625" style="325"/>
    <col min="3587" max="3587" width="13.140625" style="325" customWidth="1"/>
    <col min="3588" max="3588" width="11.85546875" style="325" customWidth="1"/>
    <col min="3589" max="3589" width="11.42578125" style="325" customWidth="1"/>
    <col min="3590" max="3590" width="10.42578125" style="325" customWidth="1"/>
    <col min="3591" max="3591" width="10.85546875" style="325" customWidth="1"/>
    <col min="3592" max="3593" width="0" style="325" hidden="1" customWidth="1"/>
    <col min="3594" max="3597" width="10.85546875" style="325" customWidth="1"/>
    <col min="3598" max="3598" width="11.42578125" style="325" customWidth="1"/>
    <col min="3599" max="3599" width="12" style="325" customWidth="1"/>
    <col min="3600" max="3600" width="11.85546875" style="325" customWidth="1"/>
    <col min="3601" max="3601" width="9.5703125" style="325" customWidth="1"/>
    <col min="3602" max="3602" width="11.42578125" style="325" customWidth="1"/>
    <col min="3603" max="3603" width="11" style="325" customWidth="1"/>
    <col min="3604" max="3604" width="11.5703125" style="325" customWidth="1"/>
    <col min="3605" max="3605" width="10.140625" style="325" customWidth="1"/>
    <col min="3606" max="3606" width="12.85546875" style="325" customWidth="1"/>
    <col min="3607" max="3838" width="9.140625" style="325"/>
    <col min="3839" max="3839" width="38.140625" style="325" customWidth="1"/>
    <col min="3840" max="3841" width="11.85546875" style="325" customWidth="1"/>
    <col min="3842" max="3842" width="9.140625" style="325"/>
    <col min="3843" max="3843" width="13.140625" style="325" customWidth="1"/>
    <col min="3844" max="3844" width="11.85546875" style="325" customWidth="1"/>
    <col min="3845" max="3845" width="11.42578125" style="325" customWidth="1"/>
    <col min="3846" max="3846" width="10.42578125" style="325" customWidth="1"/>
    <col min="3847" max="3847" width="10.85546875" style="325" customWidth="1"/>
    <col min="3848" max="3849" width="0" style="325" hidden="1" customWidth="1"/>
    <col min="3850" max="3853" width="10.85546875" style="325" customWidth="1"/>
    <col min="3854" max="3854" width="11.42578125" style="325" customWidth="1"/>
    <col min="3855" max="3855" width="12" style="325" customWidth="1"/>
    <col min="3856" max="3856" width="11.85546875" style="325" customWidth="1"/>
    <col min="3857" max="3857" width="9.5703125" style="325" customWidth="1"/>
    <col min="3858" max="3858" width="11.42578125" style="325" customWidth="1"/>
    <col min="3859" max="3859" width="11" style="325" customWidth="1"/>
    <col min="3860" max="3860" width="11.5703125" style="325" customWidth="1"/>
    <col min="3861" max="3861" width="10.140625" style="325" customWidth="1"/>
    <col min="3862" max="3862" width="12.85546875" style="325" customWidth="1"/>
    <col min="3863" max="4094" width="9.140625" style="325"/>
    <col min="4095" max="4095" width="38.140625" style="325" customWidth="1"/>
    <col min="4096" max="4097" width="11.85546875" style="325" customWidth="1"/>
    <col min="4098" max="4098" width="9.140625" style="325"/>
    <col min="4099" max="4099" width="13.140625" style="325" customWidth="1"/>
    <col min="4100" max="4100" width="11.85546875" style="325" customWidth="1"/>
    <col min="4101" max="4101" width="11.42578125" style="325" customWidth="1"/>
    <col min="4102" max="4102" width="10.42578125" style="325" customWidth="1"/>
    <col min="4103" max="4103" width="10.85546875" style="325" customWidth="1"/>
    <col min="4104" max="4105" width="0" style="325" hidden="1" customWidth="1"/>
    <col min="4106" max="4109" width="10.85546875" style="325" customWidth="1"/>
    <col min="4110" max="4110" width="11.42578125" style="325" customWidth="1"/>
    <col min="4111" max="4111" width="12" style="325" customWidth="1"/>
    <col min="4112" max="4112" width="11.85546875" style="325" customWidth="1"/>
    <col min="4113" max="4113" width="9.5703125" style="325" customWidth="1"/>
    <col min="4114" max="4114" width="11.42578125" style="325" customWidth="1"/>
    <col min="4115" max="4115" width="11" style="325" customWidth="1"/>
    <col min="4116" max="4116" width="11.5703125" style="325" customWidth="1"/>
    <col min="4117" max="4117" width="10.140625" style="325" customWidth="1"/>
    <col min="4118" max="4118" width="12.85546875" style="325" customWidth="1"/>
    <col min="4119" max="4350" width="9.140625" style="325"/>
    <col min="4351" max="4351" width="38.140625" style="325" customWidth="1"/>
    <col min="4352" max="4353" width="11.85546875" style="325" customWidth="1"/>
    <col min="4354" max="4354" width="9.140625" style="325"/>
    <col min="4355" max="4355" width="13.140625" style="325" customWidth="1"/>
    <col min="4356" max="4356" width="11.85546875" style="325" customWidth="1"/>
    <col min="4357" max="4357" width="11.42578125" style="325" customWidth="1"/>
    <col min="4358" max="4358" width="10.42578125" style="325" customWidth="1"/>
    <col min="4359" max="4359" width="10.85546875" style="325" customWidth="1"/>
    <col min="4360" max="4361" width="0" style="325" hidden="1" customWidth="1"/>
    <col min="4362" max="4365" width="10.85546875" style="325" customWidth="1"/>
    <col min="4366" max="4366" width="11.42578125" style="325" customWidth="1"/>
    <col min="4367" max="4367" width="12" style="325" customWidth="1"/>
    <col min="4368" max="4368" width="11.85546875" style="325" customWidth="1"/>
    <col min="4369" max="4369" width="9.5703125" style="325" customWidth="1"/>
    <col min="4370" max="4370" width="11.42578125" style="325" customWidth="1"/>
    <col min="4371" max="4371" width="11" style="325" customWidth="1"/>
    <col min="4372" max="4372" width="11.5703125" style="325" customWidth="1"/>
    <col min="4373" max="4373" width="10.140625" style="325" customWidth="1"/>
    <col min="4374" max="4374" width="12.85546875" style="325" customWidth="1"/>
    <col min="4375" max="4606" width="9.140625" style="325"/>
    <col min="4607" max="4607" width="38.140625" style="325" customWidth="1"/>
    <col min="4608" max="4609" width="11.85546875" style="325" customWidth="1"/>
    <col min="4610" max="4610" width="9.140625" style="325"/>
    <col min="4611" max="4611" width="13.140625" style="325" customWidth="1"/>
    <col min="4612" max="4612" width="11.85546875" style="325" customWidth="1"/>
    <col min="4613" max="4613" width="11.42578125" style="325" customWidth="1"/>
    <col min="4614" max="4614" width="10.42578125" style="325" customWidth="1"/>
    <col min="4615" max="4615" width="10.85546875" style="325" customWidth="1"/>
    <col min="4616" max="4617" width="0" style="325" hidden="1" customWidth="1"/>
    <col min="4618" max="4621" width="10.85546875" style="325" customWidth="1"/>
    <col min="4622" max="4622" width="11.42578125" style="325" customWidth="1"/>
    <col min="4623" max="4623" width="12" style="325" customWidth="1"/>
    <col min="4624" max="4624" width="11.85546875" style="325" customWidth="1"/>
    <col min="4625" max="4625" width="9.5703125" style="325" customWidth="1"/>
    <col min="4626" max="4626" width="11.42578125" style="325" customWidth="1"/>
    <col min="4627" max="4627" width="11" style="325" customWidth="1"/>
    <col min="4628" max="4628" width="11.5703125" style="325" customWidth="1"/>
    <col min="4629" max="4629" width="10.140625" style="325" customWidth="1"/>
    <col min="4630" max="4630" width="12.85546875" style="325" customWidth="1"/>
    <col min="4631" max="4862" width="9.140625" style="325"/>
    <col min="4863" max="4863" width="38.140625" style="325" customWidth="1"/>
    <col min="4864" max="4865" width="11.85546875" style="325" customWidth="1"/>
    <col min="4866" max="4866" width="9.140625" style="325"/>
    <col min="4867" max="4867" width="13.140625" style="325" customWidth="1"/>
    <col min="4868" max="4868" width="11.85546875" style="325" customWidth="1"/>
    <col min="4869" max="4869" width="11.42578125" style="325" customWidth="1"/>
    <col min="4870" max="4870" width="10.42578125" style="325" customWidth="1"/>
    <col min="4871" max="4871" width="10.85546875" style="325" customWidth="1"/>
    <col min="4872" max="4873" width="0" style="325" hidden="1" customWidth="1"/>
    <col min="4874" max="4877" width="10.85546875" style="325" customWidth="1"/>
    <col min="4878" max="4878" width="11.42578125" style="325" customWidth="1"/>
    <col min="4879" max="4879" width="12" style="325" customWidth="1"/>
    <col min="4880" max="4880" width="11.85546875" style="325" customWidth="1"/>
    <col min="4881" max="4881" width="9.5703125" style="325" customWidth="1"/>
    <col min="4882" max="4882" width="11.42578125" style="325" customWidth="1"/>
    <col min="4883" max="4883" width="11" style="325" customWidth="1"/>
    <col min="4884" max="4884" width="11.5703125" style="325" customWidth="1"/>
    <col min="4885" max="4885" width="10.140625" style="325" customWidth="1"/>
    <col min="4886" max="4886" width="12.85546875" style="325" customWidth="1"/>
    <col min="4887" max="5118" width="9.140625" style="325"/>
    <col min="5119" max="5119" width="38.140625" style="325" customWidth="1"/>
    <col min="5120" max="5121" width="11.85546875" style="325" customWidth="1"/>
    <col min="5122" max="5122" width="9.140625" style="325"/>
    <col min="5123" max="5123" width="13.140625" style="325" customWidth="1"/>
    <col min="5124" max="5124" width="11.85546875" style="325" customWidth="1"/>
    <col min="5125" max="5125" width="11.42578125" style="325" customWidth="1"/>
    <col min="5126" max="5126" width="10.42578125" style="325" customWidth="1"/>
    <col min="5127" max="5127" width="10.85546875" style="325" customWidth="1"/>
    <col min="5128" max="5129" width="0" style="325" hidden="1" customWidth="1"/>
    <col min="5130" max="5133" width="10.85546875" style="325" customWidth="1"/>
    <col min="5134" max="5134" width="11.42578125" style="325" customWidth="1"/>
    <col min="5135" max="5135" width="12" style="325" customWidth="1"/>
    <col min="5136" max="5136" width="11.85546875" style="325" customWidth="1"/>
    <col min="5137" max="5137" width="9.5703125" style="325" customWidth="1"/>
    <col min="5138" max="5138" width="11.42578125" style="325" customWidth="1"/>
    <col min="5139" max="5139" width="11" style="325" customWidth="1"/>
    <col min="5140" max="5140" width="11.5703125" style="325" customWidth="1"/>
    <col min="5141" max="5141" width="10.140625" style="325" customWidth="1"/>
    <col min="5142" max="5142" width="12.85546875" style="325" customWidth="1"/>
    <col min="5143" max="5374" width="9.140625" style="325"/>
    <col min="5375" max="5375" width="38.140625" style="325" customWidth="1"/>
    <col min="5376" max="5377" width="11.85546875" style="325" customWidth="1"/>
    <col min="5378" max="5378" width="9.140625" style="325"/>
    <col min="5379" max="5379" width="13.140625" style="325" customWidth="1"/>
    <col min="5380" max="5380" width="11.85546875" style="325" customWidth="1"/>
    <col min="5381" max="5381" width="11.42578125" style="325" customWidth="1"/>
    <col min="5382" max="5382" width="10.42578125" style="325" customWidth="1"/>
    <col min="5383" max="5383" width="10.85546875" style="325" customWidth="1"/>
    <col min="5384" max="5385" width="0" style="325" hidden="1" customWidth="1"/>
    <col min="5386" max="5389" width="10.85546875" style="325" customWidth="1"/>
    <col min="5390" max="5390" width="11.42578125" style="325" customWidth="1"/>
    <col min="5391" max="5391" width="12" style="325" customWidth="1"/>
    <col min="5392" max="5392" width="11.85546875" style="325" customWidth="1"/>
    <col min="5393" max="5393" width="9.5703125" style="325" customWidth="1"/>
    <col min="5394" max="5394" width="11.42578125" style="325" customWidth="1"/>
    <col min="5395" max="5395" width="11" style="325" customWidth="1"/>
    <col min="5396" max="5396" width="11.5703125" style="325" customWidth="1"/>
    <col min="5397" max="5397" width="10.140625" style="325" customWidth="1"/>
    <col min="5398" max="5398" width="12.85546875" style="325" customWidth="1"/>
    <col min="5399" max="5630" width="9.140625" style="325"/>
    <col min="5631" max="5631" width="38.140625" style="325" customWidth="1"/>
    <col min="5632" max="5633" width="11.85546875" style="325" customWidth="1"/>
    <col min="5634" max="5634" width="9.140625" style="325"/>
    <col min="5635" max="5635" width="13.140625" style="325" customWidth="1"/>
    <col min="5636" max="5636" width="11.85546875" style="325" customWidth="1"/>
    <col min="5637" max="5637" width="11.42578125" style="325" customWidth="1"/>
    <col min="5638" max="5638" width="10.42578125" style="325" customWidth="1"/>
    <col min="5639" max="5639" width="10.85546875" style="325" customWidth="1"/>
    <col min="5640" max="5641" width="0" style="325" hidden="1" customWidth="1"/>
    <col min="5642" max="5645" width="10.85546875" style="325" customWidth="1"/>
    <col min="5646" max="5646" width="11.42578125" style="325" customWidth="1"/>
    <col min="5647" max="5647" width="12" style="325" customWidth="1"/>
    <col min="5648" max="5648" width="11.85546875" style="325" customWidth="1"/>
    <col min="5649" max="5649" width="9.5703125" style="325" customWidth="1"/>
    <col min="5650" max="5650" width="11.42578125" style="325" customWidth="1"/>
    <col min="5651" max="5651" width="11" style="325" customWidth="1"/>
    <col min="5652" max="5652" width="11.5703125" style="325" customWidth="1"/>
    <col min="5653" max="5653" width="10.140625" style="325" customWidth="1"/>
    <col min="5654" max="5654" width="12.85546875" style="325" customWidth="1"/>
    <col min="5655" max="5886" width="9.140625" style="325"/>
    <col min="5887" max="5887" width="38.140625" style="325" customWidth="1"/>
    <col min="5888" max="5889" width="11.85546875" style="325" customWidth="1"/>
    <col min="5890" max="5890" width="9.140625" style="325"/>
    <col min="5891" max="5891" width="13.140625" style="325" customWidth="1"/>
    <col min="5892" max="5892" width="11.85546875" style="325" customWidth="1"/>
    <col min="5893" max="5893" width="11.42578125" style="325" customWidth="1"/>
    <col min="5894" max="5894" width="10.42578125" style="325" customWidth="1"/>
    <col min="5895" max="5895" width="10.85546875" style="325" customWidth="1"/>
    <col min="5896" max="5897" width="0" style="325" hidden="1" customWidth="1"/>
    <col min="5898" max="5901" width="10.85546875" style="325" customWidth="1"/>
    <col min="5902" max="5902" width="11.42578125" style="325" customWidth="1"/>
    <col min="5903" max="5903" width="12" style="325" customWidth="1"/>
    <col min="5904" max="5904" width="11.85546875" style="325" customWidth="1"/>
    <col min="5905" max="5905" width="9.5703125" style="325" customWidth="1"/>
    <col min="5906" max="5906" width="11.42578125" style="325" customWidth="1"/>
    <col min="5907" max="5907" width="11" style="325" customWidth="1"/>
    <col min="5908" max="5908" width="11.5703125" style="325" customWidth="1"/>
    <col min="5909" max="5909" width="10.140625" style="325" customWidth="1"/>
    <col min="5910" max="5910" width="12.85546875" style="325" customWidth="1"/>
    <col min="5911" max="6142" width="9.140625" style="325"/>
    <col min="6143" max="6143" width="38.140625" style="325" customWidth="1"/>
    <col min="6144" max="6145" width="11.85546875" style="325" customWidth="1"/>
    <col min="6146" max="6146" width="9.140625" style="325"/>
    <col min="6147" max="6147" width="13.140625" style="325" customWidth="1"/>
    <col min="6148" max="6148" width="11.85546875" style="325" customWidth="1"/>
    <col min="6149" max="6149" width="11.42578125" style="325" customWidth="1"/>
    <col min="6150" max="6150" width="10.42578125" style="325" customWidth="1"/>
    <col min="6151" max="6151" width="10.85546875" style="325" customWidth="1"/>
    <col min="6152" max="6153" width="0" style="325" hidden="1" customWidth="1"/>
    <col min="6154" max="6157" width="10.85546875" style="325" customWidth="1"/>
    <col min="6158" max="6158" width="11.42578125" style="325" customWidth="1"/>
    <col min="6159" max="6159" width="12" style="325" customWidth="1"/>
    <col min="6160" max="6160" width="11.85546875" style="325" customWidth="1"/>
    <col min="6161" max="6161" width="9.5703125" style="325" customWidth="1"/>
    <col min="6162" max="6162" width="11.42578125" style="325" customWidth="1"/>
    <col min="6163" max="6163" width="11" style="325" customWidth="1"/>
    <col min="6164" max="6164" width="11.5703125" style="325" customWidth="1"/>
    <col min="6165" max="6165" width="10.140625" style="325" customWidth="1"/>
    <col min="6166" max="6166" width="12.85546875" style="325" customWidth="1"/>
    <col min="6167" max="6398" width="9.140625" style="325"/>
    <col min="6399" max="6399" width="38.140625" style="325" customWidth="1"/>
    <col min="6400" max="6401" width="11.85546875" style="325" customWidth="1"/>
    <col min="6402" max="6402" width="9.140625" style="325"/>
    <col min="6403" max="6403" width="13.140625" style="325" customWidth="1"/>
    <col min="6404" max="6404" width="11.85546875" style="325" customWidth="1"/>
    <col min="6405" max="6405" width="11.42578125" style="325" customWidth="1"/>
    <col min="6406" max="6406" width="10.42578125" style="325" customWidth="1"/>
    <col min="6407" max="6407" width="10.85546875" style="325" customWidth="1"/>
    <col min="6408" max="6409" width="0" style="325" hidden="1" customWidth="1"/>
    <col min="6410" max="6413" width="10.85546875" style="325" customWidth="1"/>
    <col min="6414" max="6414" width="11.42578125" style="325" customWidth="1"/>
    <col min="6415" max="6415" width="12" style="325" customWidth="1"/>
    <col min="6416" max="6416" width="11.85546875" style="325" customWidth="1"/>
    <col min="6417" max="6417" width="9.5703125" style="325" customWidth="1"/>
    <col min="6418" max="6418" width="11.42578125" style="325" customWidth="1"/>
    <col min="6419" max="6419" width="11" style="325" customWidth="1"/>
    <col min="6420" max="6420" width="11.5703125" style="325" customWidth="1"/>
    <col min="6421" max="6421" width="10.140625" style="325" customWidth="1"/>
    <col min="6422" max="6422" width="12.85546875" style="325" customWidth="1"/>
    <col min="6423" max="6654" width="9.140625" style="325"/>
    <col min="6655" max="6655" width="38.140625" style="325" customWidth="1"/>
    <col min="6656" max="6657" width="11.85546875" style="325" customWidth="1"/>
    <col min="6658" max="6658" width="9.140625" style="325"/>
    <col min="6659" max="6659" width="13.140625" style="325" customWidth="1"/>
    <col min="6660" max="6660" width="11.85546875" style="325" customWidth="1"/>
    <col min="6661" max="6661" width="11.42578125" style="325" customWidth="1"/>
    <col min="6662" max="6662" width="10.42578125" style="325" customWidth="1"/>
    <col min="6663" max="6663" width="10.85546875" style="325" customWidth="1"/>
    <col min="6664" max="6665" width="0" style="325" hidden="1" customWidth="1"/>
    <col min="6666" max="6669" width="10.85546875" style="325" customWidth="1"/>
    <col min="6670" max="6670" width="11.42578125" style="325" customWidth="1"/>
    <col min="6671" max="6671" width="12" style="325" customWidth="1"/>
    <col min="6672" max="6672" width="11.85546875" style="325" customWidth="1"/>
    <col min="6673" max="6673" width="9.5703125" style="325" customWidth="1"/>
    <col min="6674" max="6674" width="11.42578125" style="325" customWidth="1"/>
    <col min="6675" max="6675" width="11" style="325" customWidth="1"/>
    <col min="6676" max="6676" width="11.5703125" style="325" customWidth="1"/>
    <col min="6677" max="6677" width="10.140625" style="325" customWidth="1"/>
    <col min="6678" max="6678" width="12.85546875" style="325" customWidth="1"/>
    <col min="6679" max="6910" width="9.140625" style="325"/>
    <col min="6911" max="6911" width="38.140625" style="325" customWidth="1"/>
    <col min="6912" max="6913" width="11.85546875" style="325" customWidth="1"/>
    <col min="6914" max="6914" width="9.140625" style="325"/>
    <col min="6915" max="6915" width="13.140625" style="325" customWidth="1"/>
    <col min="6916" max="6916" width="11.85546875" style="325" customWidth="1"/>
    <col min="6917" max="6917" width="11.42578125" style="325" customWidth="1"/>
    <col min="6918" max="6918" width="10.42578125" style="325" customWidth="1"/>
    <col min="6919" max="6919" width="10.85546875" style="325" customWidth="1"/>
    <col min="6920" max="6921" width="0" style="325" hidden="1" customWidth="1"/>
    <col min="6922" max="6925" width="10.85546875" style="325" customWidth="1"/>
    <col min="6926" max="6926" width="11.42578125" style="325" customWidth="1"/>
    <col min="6927" max="6927" width="12" style="325" customWidth="1"/>
    <col min="6928" max="6928" width="11.85546875" style="325" customWidth="1"/>
    <col min="6929" max="6929" width="9.5703125" style="325" customWidth="1"/>
    <col min="6930" max="6930" width="11.42578125" style="325" customWidth="1"/>
    <col min="6931" max="6931" width="11" style="325" customWidth="1"/>
    <col min="6932" max="6932" width="11.5703125" style="325" customWidth="1"/>
    <col min="6933" max="6933" width="10.140625" style="325" customWidth="1"/>
    <col min="6934" max="6934" width="12.85546875" style="325" customWidth="1"/>
    <col min="6935" max="7166" width="9.140625" style="325"/>
    <col min="7167" max="7167" width="38.140625" style="325" customWidth="1"/>
    <col min="7168" max="7169" width="11.85546875" style="325" customWidth="1"/>
    <col min="7170" max="7170" width="9.140625" style="325"/>
    <col min="7171" max="7171" width="13.140625" style="325" customWidth="1"/>
    <col min="7172" max="7172" width="11.85546875" style="325" customWidth="1"/>
    <col min="7173" max="7173" width="11.42578125" style="325" customWidth="1"/>
    <col min="7174" max="7174" width="10.42578125" style="325" customWidth="1"/>
    <col min="7175" max="7175" width="10.85546875" style="325" customWidth="1"/>
    <col min="7176" max="7177" width="0" style="325" hidden="1" customWidth="1"/>
    <col min="7178" max="7181" width="10.85546875" style="325" customWidth="1"/>
    <col min="7182" max="7182" width="11.42578125" style="325" customWidth="1"/>
    <col min="7183" max="7183" width="12" style="325" customWidth="1"/>
    <col min="7184" max="7184" width="11.85546875" style="325" customWidth="1"/>
    <col min="7185" max="7185" width="9.5703125" style="325" customWidth="1"/>
    <col min="7186" max="7186" width="11.42578125" style="325" customWidth="1"/>
    <col min="7187" max="7187" width="11" style="325" customWidth="1"/>
    <col min="7188" max="7188" width="11.5703125" style="325" customWidth="1"/>
    <col min="7189" max="7189" width="10.140625" style="325" customWidth="1"/>
    <col min="7190" max="7190" width="12.85546875" style="325" customWidth="1"/>
    <col min="7191" max="7422" width="9.140625" style="325"/>
    <col min="7423" max="7423" width="38.140625" style="325" customWidth="1"/>
    <col min="7424" max="7425" width="11.85546875" style="325" customWidth="1"/>
    <col min="7426" max="7426" width="9.140625" style="325"/>
    <col min="7427" max="7427" width="13.140625" style="325" customWidth="1"/>
    <col min="7428" max="7428" width="11.85546875" style="325" customWidth="1"/>
    <col min="7429" max="7429" width="11.42578125" style="325" customWidth="1"/>
    <col min="7430" max="7430" width="10.42578125" style="325" customWidth="1"/>
    <col min="7431" max="7431" width="10.85546875" style="325" customWidth="1"/>
    <col min="7432" max="7433" width="0" style="325" hidden="1" customWidth="1"/>
    <col min="7434" max="7437" width="10.85546875" style="325" customWidth="1"/>
    <col min="7438" max="7438" width="11.42578125" style="325" customWidth="1"/>
    <col min="7439" max="7439" width="12" style="325" customWidth="1"/>
    <col min="7440" max="7440" width="11.85546875" style="325" customWidth="1"/>
    <col min="7441" max="7441" width="9.5703125" style="325" customWidth="1"/>
    <col min="7442" max="7442" width="11.42578125" style="325" customWidth="1"/>
    <col min="7443" max="7443" width="11" style="325" customWidth="1"/>
    <col min="7444" max="7444" width="11.5703125" style="325" customWidth="1"/>
    <col min="7445" max="7445" width="10.140625" style="325" customWidth="1"/>
    <col min="7446" max="7446" width="12.85546875" style="325" customWidth="1"/>
    <col min="7447" max="7678" width="9.140625" style="325"/>
    <col min="7679" max="7679" width="38.140625" style="325" customWidth="1"/>
    <col min="7680" max="7681" width="11.85546875" style="325" customWidth="1"/>
    <col min="7682" max="7682" width="9.140625" style="325"/>
    <col min="7683" max="7683" width="13.140625" style="325" customWidth="1"/>
    <col min="7684" max="7684" width="11.85546875" style="325" customWidth="1"/>
    <col min="7685" max="7685" width="11.42578125" style="325" customWidth="1"/>
    <col min="7686" max="7686" width="10.42578125" style="325" customWidth="1"/>
    <col min="7687" max="7687" width="10.85546875" style="325" customWidth="1"/>
    <col min="7688" max="7689" width="0" style="325" hidden="1" customWidth="1"/>
    <col min="7690" max="7693" width="10.85546875" style="325" customWidth="1"/>
    <col min="7694" max="7694" width="11.42578125" style="325" customWidth="1"/>
    <col min="7695" max="7695" width="12" style="325" customWidth="1"/>
    <col min="7696" max="7696" width="11.85546875" style="325" customWidth="1"/>
    <col min="7697" max="7697" width="9.5703125" style="325" customWidth="1"/>
    <col min="7698" max="7698" width="11.42578125" style="325" customWidth="1"/>
    <col min="7699" max="7699" width="11" style="325" customWidth="1"/>
    <col min="7700" max="7700" width="11.5703125" style="325" customWidth="1"/>
    <col min="7701" max="7701" width="10.140625" style="325" customWidth="1"/>
    <col min="7702" max="7702" width="12.85546875" style="325" customWidth="1"/>
    <col min="7703" max="7934" width="9.140625" style="325"/>
    <col min="7935" max="7935" width="38.140625" style="325" customWidth="1"/>
    <col min="7936" max="7937" width="11.85546875" style="325" customWidth="1"/>
    <col min="7938" max="7938" width="9.140625" style="325"/>
    <col min="7939" max="7939" width="13.140625" style="325" customWidth="1"/>
    <col min="7940" max="7940" width="11.85546875" style="325" customWidth="1"/>
    <col min="7941" max="7941" width="11.42578125" style="325" customWidth="1"/>
    <col min="7942" max="7942" width="10.42578125" style="325" customWidth="1"/>
    <col min="7943" max="7943" width="10.85546875" style="325" customWidth="1"/>
    <col min="7944" max="7945" width="0" style="325" hidden="1" customWidth="1"/>
    <col min="7946" max="7949" width="10.85546875" style="325" customWidth="1"/>
    <col min="7950" max="7950" width="11.42578125" style="325" customWidth="1"/>
    <col min="7951" max="7951" width="12" style="325" customWidth="1"/>
    <col min="7952" max="7952" width="11.85546875" style="325" customWidth="1"/>
    <col min="7953" max="7953" width="9.5703125" style="325" customWidth="1"/>
    <col min="7954" max="7954" width="11.42578125" style="325" customWidth="1"/>
    <col min="7955" max="7955" width="11" style="325" customWidth="1"/>
    <col min="7956" max="7956" width="11.5703125" style="325" customWidth="1"/>
    <col min="7957" max="7957" width="10.140625" style="325" customWidth="1"/>
    <col min="7958" max="7958" width="12.85546875" style="325" customWidth="1"/>
    <col min="7959" max="8190" width="9.140625" style="325"/>
    <col min="8191" max="8191" width="38.140625" style="325" customWidth="1"/>
    <col min="8192" max="8193" width="11.85546875" style="325" customWidth="1"/>
    <col min="8194" max="8194" width="9.140625" style="325"/>
    <col min="8195" max="8195" width="13.140625" style="325" customWidth="1"/>
    <col min="8196" max="8196" width="11.85546875" style="325" customWidth="1"/>
    <col min="8197" max="8197" width="11.42578125" style="325" customWidth="1"/>
    <col min="8198" max="8198" width="10.42578125" style="325" customWidth="1"/>
    <col min="8199" max="8199" width="10.85546875" style="325" customWidth="1"/>
    <col min="8200" max="8201" width="0" style="325" hidden="1" customWidth="1"/>
    <col min="8202" max="8205" width="10.85546875" style="325" customWidth="1"/>
    <col min="8206" max="8206" width="11.42578125" style="325" customWidth="1"/>
    <col min="8207" max="8207" width="12" style="325" customWidth="1"/>
    <col min="8208" max="8208" width="11.85546875" style="325" customWidth="1"/>
    <col min="8209" max="8209" width="9.5703125" style="325" customWidth="1"/>
    <col min="8210" max="8210" width="11.42578125" style="325" customWidth="1"/>
    <col min="8211" max="8211" width="11" style="325" customWidth="1"/>
    <col min="8212" max="8212" width="11.5703125" style="325" customWidth="1"/>
    <col min="8213" max="8213" width="10.140625" style="325" customWidth="1"/>
    <col min="8214" max="8214" width="12.85546875" style="325" customWidth="1"/>
    <col min="8215" max="8446" width="9.140625" style="325"/>
    <col min="8447" max="8447" width="38.140625" style="325" customWidth="1"/>
    <col min="8448" max="8449" width="11.85546875" style="325" customWidth="1"/>
    <col min="8450" max="8450" width="9.140625" style="325"/>
    <col min="8451" max="8451" width="13.140625" style="325" customWidth="1"/>
    <col min="8452" max="8452" width="11.85546875" style="325" customWidth="1"/>
    <col min="8453" max="8453" width="11.42578125" style="325" customWidth="1"/>
    <col min="8454" max="8454" width="10.42578125" style="325" customWidth="1"/>
    <col min="8455" max="8455" width="10.85546875" style="325" customWidth="1"/>
    <col min="8456" max="8457" width="0" style="325" hidden="1" customWidth="1"/>
    <col min="8458" max="8461" width="10.85546875" style="325" customWidth="1"/>
    <col min="8462" max="8462" width="11.42578125" style="325" customWidth="1"/>
    <col min="8463" max="8463" width="12" style="325" customWidth="1"/>
    <col min="8464" max="8464" width="11.85546875" style="325" customWidth="1"/>
    <col min="8465" max="8465" width="9.5703125" style="325" customWidth="1"/>
    <col min="8466" max="8466" width="11.42578125" style="325" customWidth="1"/>
    <col min="8467" max="8467" width="11" style="325" customWidth="1"/>
    <col min="8468" max="8468" width="11.5703125" style="325" customWidth="1"/>
    <col min="8469" max="8469" width="10.140625" style="325" customWidth="1"/>
    <col min="8470" max="8470" width="12.85546875" style="325" customWidth="1"/>
    <col min="8471" max="8702" width="9.140625" style="325"/>
    <col min="8703" max="8703" width="38.140625" style="325" customWidth="1"/>
    <col min="8704" max="8705" width="11.85546875" style="325" customWidth="1"/>
    <col min="8706" max="8706" width="9.140625" style="325"/>
    <col min="8707" max="8707" width="13.140625" style="325" customWidth="1"/>
    <col min="8708" max="8708" width="11.85546875" style="325" customWidth="1"/>
    <col min="8709" max="8709" width="11.42578125" style="325" customWidth="1"/>
    <col min="8710" max="8710" width="10.42578125" style="325" customWidth="1"/>
    <col min="8711" max="8711" width="10.85546875" style="325" customWidth="1"/>
    <col min="8712" max="8713" width="0" style="325" hidden="1" customWidth="1"/>
    <col min="8714" max="8717" width="10.85546875" style="325" customWidth="1"/>
    <col min="8718" max="8718" width="11.42578125" style="325" customWidth="1"/>
    <col min="8719" max="8719" width="12" style="325" customWidth="1"/>
    <col min="8720" max="8720" width="11.85546875" style="325" customWidth="1"/>
    <col min="8721" max="8721" width="9.5703125" style="325" customWidth="1"/>
    <col min="8722" max="8722" width="11.42578125" style="325" customWidth="1"/>
    <col min="8723" max="8723" width="11" style="325" customWidth="1"/>
    <col min="8724" max="8724" width="11.5703125" style="325" customWidth="1"/>
    <col min="8725" max="8725" width="10.140625" style="325" customWidth="1"/>
    <col min="8726" max="8726" width="12.85546875" style="325" customWidth="1"/>
    <col min="8727" max="8958" width="9.140625" style="325"/>
    <col min="8959" max="8959" width="38.140625" style="325" customWidth="1"/>
    <col min="8960" max="8961" width="11.85546875" style="325" customWidth="1"/>
    <col min="8962" max="8962" width="9.140625" style="325"/>
    <col min="8963" max="8963" width="13.140625" style="325" customWidth="1"/>
    <col min="8964" max="8964" width="11.85546875" style="325" customWidth="1"/>
    <col min="8965" max="8965" width="11.42578125" style="325" customWidth="1"/>
    <col min="8966" max="8966" width="10.42578125" style="325" customWidth="1"/>
    <col min="8967" max="8967" width="10.85546875" style="325" customWidth="1"/>
    <col min="8968" max="8969" width="0" style="325" hidden="1" customWidth="1"/>
    <col min="8970" max="8973" width="10.85546875" style="325" customWidth="1"/>
    <col min="8974" max="8974" width="11.42578125" style="325" customWidth="1"/>
    <col min="8975" max="8975" width="12" style="325" customWidth="1"/>
    <col min="8976" max="8976" width="11.85546875" style="325" customWidth="1"/>
    <col min="8977" max="8977" width="9.5703125" style="325" customWidth="1"/>
    <col min="8978" max="8978" width="11.42578125" style="325" customWidth="1"/>
    <col min="8979" max="8979" width="11" style="325" customWidth="1"/>
    <col min="8980" max="8980" width="11.5703125" style="325" customWidth="1"/>
    <col min="8981" max="8981" width="10.140625" style="325" customWidth="1"/>
    <col min="8982" max="8982" width="12.85546875" style="325" customWidth="1"/>
    <col min="8983" max="9214" width="9.140625" style="325"/>
    <col min="9215" max="9215" width="38.140625" style="325" customWidth="1"/>
    <col min="9216" max="9217" width="11.85546875" style="325" customWidth="1"/>
    <col min="9218" max="9218" width="9.140625" style="325"/>
    <col min="9219" max="9219" width="13.140625" style="325" customWidth="1"/>
    <col min="9220" max="9220" width="11.85546875" style="325" customWidth="1"/>
    <col min="9221" max="9221" width="11.42578125" style="325" customWidth="1"/>
    <col min="9222" max="9222" width="10.42578125" style="325" customWidth="1"/>
    <col min="9223" max="9223" width="10.85546875" style="325" customWidth="1"/>
    <col min="9224" max="9225" width="0" style="325" hidden="1" customWidth="1"/>
    <col min="9226" max="9229" width="10.85546875" style="325" customWidth="1"/>
    <col min="9230" max="9230" width="11.42578125" style="325" customWidth="1"/>
    <col min="9231" max="9231" width="12" style="325" customWidth="1"/>
    <col min="9232" max="9232" width="11.85546875" style="325" customWidth="1"/>
    <col min="9233" max="9233" width="9.5703125" style="325" customWidth="1"/>
    <col min="9234" max="9234" width="11.42578125" style="325" customWidth="1"/>
    <col min="9235" max="9235" width="11" style="325" customWidth="1"/>
    <col min="9236" max="9236" width="11.5703125" style="325" customWidth="1"/>
    <col min="9237" max="9237" width="10.140625" style="325" customWidth="1"/>
    <col min="9238" max="9238" width="12.85546875" style="325" customWidth="1"/>
    <col min="9239" max="9470" width="9.140625" style="325"/>
    <col min="9471" max="9471" width="38.140625" style="325" customWidth="1"/>
    <col min="9472" max="9473" width="11.85546875" style="325" customWidth="1"/>
    <col min="9474" max="9474" width="9.140625" style="325"/>
    <col min="9475" max="9475" width="13.140625" style="325" customWidth="1"/>
    <col min="9476" max="9476" width="11.85546875" style="325" customWidth="1"/>
    <col min="9477" max="9477" width="11.42578125" style="325" customWidth="1"/>
    <col min="9478" max="9478" width="10.42578125" style="325" customWidth="1"/>
    <col min="9479" max="9479" width="10.85546875" style="325" customWidth="1"/>
    <col min="9480" max="9481" width="0" style="325" hidden="1" customWidth="1"/>
    <col min="9482" max="9485" width="10.85546875" style="325" customWidth="1"/>
    <col min="9486" max="9486" width="11.42578125" style="325" customWidth="1"/>
    <col min="9487" max="9487" width="12" style="325" customWidth="1"/>
    <col min="9488" max="9488" width="11.85546875" style="325" customWidth="1"/>
    <col min="9489" max="9489" width="9.5703125" style="325" customWidth="1"/>
    <col min="9490" max="9490" width="11.42578125" style="325" customWidth="1"/>
    <col min="9491" max="9491" width="11" style="325" customWidth="1"/>
    <col min="9492" max="9492" width="11.5703125" style="325" customWidth="1"/>
    <col min="9493" max="9493" width="10.140625" style="325" customWidth="1"/>
    <col min="9494" max="9494" width="12.85546875" style="325" customWidth="1"/>
    <col min="9495" max="9726" width="9.140625" style="325"/>
    <col min="9727" max="9727" width="38.140625" style="325" customWidth="1"/>
    <col min="9728" max="9729" width="11.85546875" style="325" customWidth="1"/>
    <col min="9730" max="9730" width="9.140625" style="325"/>
    <col min="9731" max="9731" width="13.140625" style="325" customWidth="1"/>
    <col min="9732" max="9732" width="11.85546875" style="325" customWidth="1"/>
    <col min="9733" max="9733" width="11.42578125" style="325" customWidth="1"/>
    <col min="9734" max="9734" width="10.42578125" style="325" customWidth="1"/>
    <col min="9735" max="9735" width="10.85546875" style="325" customWidth="1"/>
    <col min="9736" max="9737" width="0" style="325" hidden="1" customWidth="1"/>
    <col min="9738" max="9741" width="10.85546875" style="325" customWidth="1"/>
    <col min="9742" max="9742" width="11.42578125" style="325" customWidth="1"/>
    <col min="9743" max="9743" width="12" style="325" customWidth="1"/>
    <col min="9744" max="9744" width="11.85546875" style="325" customWidth="1"/>
    <col min="9745" max="9745" width="9.5703125" style="325" customWidth="1"/>
    <col min="9746" max="9746" width="11.42578125" style="325" customWidth="1"/>
    <col min="9747" max="9747" width="11" style="325" customWidth="1"/>
    <col min="9748" max="9748" width="11.5703125" style="325" customWidth="1"/>
    <col min="9749" max="9749" width="10.140625" style="325" customWidth="1"/>
    <col min="9750" max="9750" width="12.85546875" style="325" customWidth="1"/>
    <col min="9751" max="9982" width="9.140625" style="325"/>
    <col min="9983" max="9983" width="38.140625" style="325" customWidth="1"/>
    <col min="9984" max="9985" width="11.85546875" style="325" customWidth="1"/>
    <col min="9986" max="9986" width="9.140625" style="325"/>
    <col min="9987" max="9987" width="13.140625" style="325" customWidth="1"/>
    <col min="9988" max="9988" width="11.85546875" style="325" customWidth="1"/>
    <col min="9989" max="9989" width="11.42578125" style="325" customWidth="1"/>
    <col min="9990" max="9990" width="10.42578125" style="325" customWidth="1"/>
    <col min="9991" max="9991" width="10.85546875" style="325" customWidth="1"/>
    <col min="9992" max="9993" width="0" style="325" hidden="1" customWidth="1"/>
    <col min="9994" max="9997" width="10.85546875" style="325" customWidth="1"/>
    <col min="9998" max="9998" width="11.42578125" style="325" customWidth="1"/>
    <col min="9999" max="9999" width="12" style="325" customWidth="1"/>
    <col min="10000" max="10000" width="11.85546875" style="325" customWidth="1"/>
    <col min="10001" max="10001" width="9.5703125" style="325" customWidth="1"/>
    <col min="10002" max="10002" width="11.42578125" style="325" customWidth="1"/>
    <col min="10003" max="10003" width="11" style="325" customWidth="1"/>
    <col min="10004" max="10004" width="11.5703125" style="325" customWidth="1"/>
    <col min="10005" max="10005" width="10.140625" style="325" customWidth="1"/>
    <col min="10006" max="10006" width="12.85546875" style="325" customWidth="1"/>
    <col min="10007" max="10238" width="9.140625" style="325"/>
    <col min="10239" max="10239" width="38.140625" style="325" customWidth="1"/>
    <col min="10240" max="10241" width="11.85546875" style="325" customWidth="1"/>
    <col min="10242" max="10242" width="9.140625" style="325"/>
    <col min="10243" max="10243" width="13.140625" style="325" customWidth="1"/>
    <col min="10244" max="10244" width="11.85546875" style="325" customWidth="1"/>
    <col min="10245" max="10245" width="11.42578125" style="325" customWidth="1"/>
    <col min="10246" max="10246" width="10.42578125" style="325" customWidth="1"/>
    <col min="10247" max="10247" width="10.85546875" style="325" customWidth="1"/>
    <col min="10248" max="10249" width="0" style="325" hidden="1" customWidth="1"/>
    <col min="10250" max="10253" width="10.85546875" style="325" customWidth="1"/>
    <col min="10254" max="10254" width="11.42578125" style="325" customWidth="1"/>
    <col min="10255" max="10255" width="12" style="325" customWidth="1"/>
    <col min="10256" max="10256" width="11.85546875" style="325" customWidth="1"/>
    <col min="10257" max="10257" width="9.5703125" style="325" customWidth="1"/>
    <col min="10258" max="10258" width="11.42578125" style="325" customWidth="1"/>
    <col min="10259" max="10259" width="11" style="325" customWidth="1"/>
    <col min="10260" max="10260" width="11.5703125" style="325" customWidth="1"/>
    <col min="10261" max="10261" width="10.140625" style="325" customWidth="1"/>
    <col min="10262" max="10262" width="12.85546875" style="325" customWidth="1"/>
    <col min="10263" max="10494" width="9.140625" style="325"/>
    <col min="10495" max="10495" width="38.140625" style="325" customWidth="1"/>
    <col min="10496" max="10497" width="11.85546875" style="325" customWidth="1"/>
    <col min="10498" max="10498" width="9.140625" style="325"/>
    <col min="10499" max="10499" width="13.140625" style="325" customWidth="1"/>
    <col min="10500" max="10500" width="11.85546875" style="325" customWidth="1"/>
    <col min="10501" max="10501" width="11.42578125" style="325" customWidth="1"/>
    <col min="10502" max="10502" width="10.42578125" style="325" customWidth="1"/>
    <col min="10503" max="10503" width="10.85546875" style="325" customWidth="1"/>
    <col min="10504" max="10505" width="0" style="325" hidden="1" customWidth="1"/>
    <col min="10506" max="10509" width="10.85546875" style="325" customWidth="1"/>
    <col min="10510" max="10510" width="11.42578125" style="325" customWidth="1"/>
    <col min="10511" max="10511" width="12" style="325" customWidth="1"/>
    <col min="10512" max="10512" width="11.85546875" style="325" customWidth="1"/>
    <col min="10513" max="10513" width="9.5703125" style="325" customWidth="1"/>
    <col min="10514" max="10514" width="11.42578125" style="325" customWidth="1"/>
    <col min="10515" max="10515" width="11" style="325" customWidth="1"/>
    <col min="10516" max="10516" width="11.5703125" style="325" customWidth="1"/>
    <col min="10517" max="10517" width="10.140625" style="325" customWidth="1"/>
    <col min="10518" max="10518" width="12.85546875" style="325" customWidth="1"/>
    <col min="10519" max="10750" width="9.140625" style="325"/>
    <col min="10751" max="10751" width="38.140625" style="325" customWidth="1"/>
    <col min="10752" max="10753" width="11.85546875" style="325" customWidth="1"/>
    <col min="10754" max="10754" width="9.140625" style="325"/>
    <col min="10755" max="10755" width="13.140625" style="325" customWidth="1"/>
    <col min="10756" max="10756" width="11.85546875" style="325" customWidth="1"/>
    <col min="10757" max="10757" width="11.42578125" style="325" customWidth="1"/>
    <col min="10758" max="10758" width="10.42578125" style="325" customWidth="1"/>
    <col min="10759" max="10759" width="10.85546875" style="325" customWidth="1"/>
    <col min="10760" max="10761" width="0" style="325" hidden="1" customWidth="1"/>
    <col min="10762" max="10765" width="10.85546875" style="325" customWidth="1"/>
    <col min="10766" max="10766" width="11.42578125" style="325" customWidth="1"/>
    <col min="10767" max="10767" width="12" style="325" customWidth="1"/>
    <col min="10768" max="10768" width="11.85546875" style="325" customWidth="1"/>
    <col min="10769" max="10769" width="9.5703125" style="325" customWidth="1"/>
    <col min="10770" max="10770" width="11.42578125" style="325" customWidth="1"/>
    <col min="10771" max="10771" width="11" style="325" customWidth="1"/>
    <col min="10772" max="10772" width="11.5703125" style="325" customWidth="1"/>
    <col min="10773" max="10773" width="10.140625" style="325" customWidth="1"/>
    <col min="10774" max="10774" width="12.85546875" style="325" customWidth="1"/>
    <col min="10775" max="11006" width="9.140625" style="325"/>
    <col min="11007" max="11007" width="38.140625" style="325" customWidth="1"/>
    <col min="11008" max="11009" width="11.85546875" style="325" customWidth="1"/>
    <col min="11010" max="11010" width="9.140625" style="325"/>
    <col min="11011" max="11011" width="13.140625" style="325" customWidth="1"/>
    <col min="11012" max="11012" width="11.85546875" style="325" customWidth="1"/>
    <col min="11013" max="11013" width="11.42578125" style="325" customWidth="1"/>
    <col min="11014" max="11014" width="10.42578125" style="325" customWidth="1"/>
    <col min="11015" max="11015" width="10.85546875" style="325" customWidth="1"/>
    <col min="11016" max="11017" width="0" style="325" hidden="1" customWidth="1"/>
    <col min="11018" max="11021" width="10.85546875" style="325" customWidth="1"/>
    <col min="11022" max="11022" width="11.42578125" style="325" customWidth="1"/>
    <col min="11023" max="11023" width="12" style="325" customWidth="1"/>
    <col min="11024" max="11024" width="11.85546875" style="325" customWidth="1"/>
    <col min="11025" max="11025" width="9.5703125" style="325" customWidth="1"/>
    <col min="11026" max="11026" width="11.42578125" style="325" customWidth="1"/>
    <col min="11027" max="11027" width="11" style="325" customWidth="1"/>
    <col min="11028" max="11028" width="11.5703125" style="325" customWidth="1"/>
    <col min="11029" max="11029" width="10.140625" style="325" customWidth="1"/>
    <col min="11030" max="11030" width="12.85546875" style="325" customWidth="1"/>
    <col min="11031" max="11262" width="9.140625" style="325"/>
    <col min="11263" max="11263" width="38.140625" style="325" customWidth="1"/>
    <col min="11264" max="11265" width="11.85546875" style="325" customWidth="1"/>
    <col min="11266" max="11266" width="9.140625" style="325"/>
    <col min="11267" max="11267" width="13.140625" style="325" customWidth="1"/>
    <col min="11268" max="11268" width="11.85546875" style="325" customWidth="1"/>
    <col min="11269" max="11269" width="11.42578125" style="325" customWidth="1"/>
    <col min="11270" max="11270" width="10.42578125" style="325" customWidth="1"/>
    <col min="11271" max="11271" width="10.85546875" style="325" customWidth="1"/>
    <col min="11272" max="11273" width="0" style="325" hidden="1" customWidth="1"/>
    <col min="11274" max="11277" width="10.85546875" style="325" customWidth="1"/>
    <col min="11278" max="11278" width="11.42578125" style="325" customWidth="1"/>
    <col min="11279" max="11279" width="12" style="325" customWidth="1"/>
    <col min="11280" max="11280" width="11.85546875" style="325" customWidth="1"/>
    <col min="11281" max="11281" width="9.5703125" style="325" customWidth="1"/>
    <col min="11282" max="11282" width="11.42578125" style="325" customWidth="1"/>
    <col min="11283" max="11283" width="11" style="325" customWidth="1"/>
    <col min="11284" max="11284" width="11.5703125" style="325" customWidth="1"/>
    <col min="11285" max="11285" width="10.140625" style="325" customWidth="1"/>
    <col min="11286" max="11286" width="12.85546875" style="325" customWidth="1"/>
    <col min="11287" max="11518" width="9.140625" style="325"/>
    <col min="11519" max="11519" width="38.140625" style="325" customWidth="1"/>
    <col min="11520" max="11521" width="11.85546875" style="325" customWidth="1"/>
    <col min="11522" max="11522" width="9.140625" style="325"/>
    <col min="11523" max="11523" width="13.140625" style="325" customWidth="1"/>
    <col min="11524" max="11524" width="11.85546875" style="325" customWidth="1"/>
    <col min="11525" max="11525" width="11.42578125" style="325" customWidth="1"/>
    <col min="11526" max="11526" width="10.42578125" style="325" customWidth="1"/>
    <col min="11527" max="11527" width="10.85546875" style="325" customWidth="1"/>
    <col min="11528" max="11529" width="0" style="325" hidden="1" customWidth="1"/>
    <col min="11530" max="11533" width="10.85546875" style="325" customWidth="1"/>
    <col min="11534" max="11534" width="11.42578125" style="325" customWidth="1"/>
    <col min="11535" max="11535" width="12" style="325" customWidth="1"/>
    <col min="11536" max="11536" width="11.85546875" style="325" customWidth="1"/>
    <col min="11537" max="11537" width="9.5703125" style="325" customWidth="1"/>
    <col min="11538" max="11538" width="11.42578125" style="325" customWidth="1"/>
    <col min="11539" max="11539" width="11" style="325" customWidth="1"/>
    <col min="11540" max="11540" width="11.5703125" style="325" customWidth="1"/>
    <col min="11541" max="11541" width="10.140625" style="325" customWidth="1"/>
    <col min="11542" max="11542" width="12.85546875" style="325" customWidth="1"/>
    <col min="11543" max="11774" width="9.140625" style="325"/>
    <col min="11775" max="11775" width="38.140625" style="325" customWidth="1"/>
    <col min="11776" max="11777" width="11.85546875" style="325" customWidth="1"/>
    <col min="11778" max="11778" width="9.140625" style="325"/>
    <col min="11779" max="11779" width="13.140625" style="325" customWidth="1"/>
    <col min="11780" max="11780" width="11.85546875" style="325" customWidth="1"/>
    <col min="11781" max="11781" width="11.42578125" style="325" customWidth="1"/>
    <col min="11782" max="11782" width="10.42578125" style="325" customWidth="1"/>
    <col min="11783" max="11783" width="10.85546875" style="325" customWidth="1"/>
    <col min="11784" max="11785" width="0" style="325" hidden="1" customWidth="1"/>
    <col min="11786" max="11789" width="10.85546875" style="325" customWidth="1"/>
    <col min="11790" max="11790" width="11.42578125" style="325" customWidth="1"/>
    <col min="11791" max="11791" width="12" style="325" customWidth="1"/>
    <col min="11792" max="11792" width="11.85546875" style="325" customWidth="1"/>
    <col min="11793" max="11793" width="9.5703125" style="325" customWidth="1"/>
    <col min="11794" max="11794" width="11.42578125" style="325" customWidth="1"/>
    <col min="11795" max="11795" width="11" style="325" customWidth="1"/>
    <col min="11796" max="11796" width="11.5703125" style="325" customWidth="1"/>
    <col min="11797" max="11797" width="10.140625" style="325" customWidth="1"/>
    <col min="11798" max="11798" width="12.85546875" style="325" customWidth="1"/>
    <col min="11799" max="12030" width="9.140625" style="325"/>
    <col min="12031" max="12031" width="38.140625" style="325" customWidth="1"/>
    <col min="12032" max="12033" width="11.85546875" style="325" customWidth="1"/>
    <col min="12034" max="12034" width="9.140625" style="325"/>
    <col min="12035" max="12035" width="13.140625" style="325" customWidth="1"/>
    <col min="12036" max="12036" width="11.85546875" style="325" customWidth="1"/>
    <col min="12037" max="12037" width="11.42578125" style="325" customWidth="1"/>
    <col min="12038" max="12038" width="10.42578125" style="325" customWidth="1"/>
    <col min="12039" max="12039" width="10.85546875" style="325" customWidth="1"/>
    <col min="12040" max="12041" width="0" style="325" hidden="1" customWidth="1"/>
    <col min="12042" max="12045" width="10.85546875" style="325" customWidth="1"/>
    <col min="12046" max="12046" width="11.42578125" style="325" customWidth="1"/>
    <col min="12047" max="12047" width="12" style="325" customWidth="1"/>
    <col min="12048" max="12048" width="11.85546875" style="325" customWidth="1"/>
    <col min="12049" max="12049" width="9.5703125" style="325" customWidth="1"/>
    <col min="12050" max="12050" width="11.42578125" style="325" customWidth="1"/>
    <col min="12051" max="12051" width="11" style="325" customWidth="1"/>
    <col min="12052" max="12052" width="11.5703125" style="325" customWidth="1"/>
    <col min="12053" max="12053" width="10.140625" style="325" customWidth="1"/>
    <col min="12054" max="12054" width="12.85546875" style="325" customWidth="1"/>
    <col min="12055" max="12286" width="9.140625" style="325"/>
    <col min="12287" max="12287" width="38.140625" style="325" customWidth="1"/>
    <col min="12288" max="12289" width="11.85546875" style="325" customWidth="1"/>
    <col min="12290" max="12290" width="9.140625" style="325"/>
    <col min="12291" max="12291" width="13.140625" style="325" customWidth="1"/>
    <col min="12292" max="12292" width="11.85546875" style="325" customWidth="1"/>
    <col min="12293" max="12293" width="11.42578125" style="325" customWidth="1"/>
    <col min="12294" max="12294" width="10.42578125" style="325" customWidth="1"/>
    <col min="12295" max="12295" width="10.85546875" style="325" customWidth="1"/>
    <col min="12296" max="12297" width="0" style="325" hidden="1" customWidth="1"/>
    <col min="12298" max="12301" width="10.85546875" style="325" customWidth="1"/>
    <col min="12302" max="12302" width="11.42578125" style="325" customWidth="1"/>
    <col min="12303" max="12303" width="12" style="325" customWidth="1"/>
    <col min="12304" max="12304" width="11.85546875" style="325" customWidth="1"/>
    <col min="12305" max="12305" width="9.5703125" style="325" customWidth="1"/>
    <col min="12306" max="12306" width="11.42578125" style="325" customWidth="1"/>
    <col min="12307" max="12307" width="11" style="325" customWidth="1"/>
    <col min="12308" max="12308" width="11.5703125" style="325" customWidth="1"/>
    <col min="12309" max="12309" width="10.140625" style="325" customWidth="1"/>
    <col min="12310" max="12310" width="12.85546875" style="325" customWidth="1"/>
    <col min="12311" max="12542" width="9.140625" style="325"/>
    <col min="12543" max="12543" width="38.140625" style="325" customWidth="1"/>
    <col min="12544" max="12545" width="11.85546875" style="325" customWidth="1"/>
    <col min="12546" max="12546" width="9.140625" style="325"/>
    <col min="12547" max="12547" width="13.140625" style="325" customWidth="1"/>
    <col min="12548" max="12548" width="11.85546875" style="325" customWidth="1"/>
    <col min="12549" max="12549" width="11.42578125" style="325" customWidth="1"/>
    <col min="12550" max="12550" width="10.42578125" style="325" customWidth="1"/>
    <col min="12551" max="12551" width="10.85546875" style="325" customWidth="1"/>
    <col min="12552" max="12553" width="0" style="325" hidden="1" customWidth="1"/>
    <col min="12554" max="12557" width="10.85546875" style="325" customWidth="1"/>
    <col min="12558" max="12558" width="11.42578125" style="325" customWidth="1"/>
    <col min="12559" max="12559" width="12" style="325" customWidth="1"/>
    <col min="12560" max="12560" width="11.85546875" style="325" customWidth="1"/>
    <col min="12561" max="12561" width="9.5703125" style="325" customWidth="1"/>
    <col min="12562" max="12562" width="11.42578125" style="325" customWidth="1"/>
    <col min="12563" max="12563" width="11" style="325" customWidth="1"/>
    <col min="12564" max="12564" width="11.5703125" style="325" customWidth="1"/>
    <col min="12565" max="12565" width="10.140625" style="325" customWidth="1"/>
    <col min="12566" max="12566" width="12.85546875" style="325" customWidth="1"/>
    <col min="12567" max="12798" width="9.140625" style="325"/>
    <col min="12799" max="12799" width="38.140625" style="325" customWidth="1"/>
    <col min="12800" max="12801" width="11.85546875" style="325" customWidth="1"/>
    <col min="12802" max="12802" width="9.140625" style="325"/>
    <col min="12803" max="12803" width="13.140625" style="325" customWidth="1"/>
    <col min="12804" max="12804" width="11.85546875" style="325" customWidth="1"/>
    <col min="12805" max="12805" width="11.42578125" style="325" customWidth="1"/>
    <col min="12806" max="12806" width="10.42578125" style="325" customWidth="1"/>
    <col min="12807" max="12807" width="10.85546875" style="325" customWidth="1"/>
    <col min="12808" max="12809" width="0" style="325" hidden="1" customWidth="1"/>
    <col min="12810" max="12813" width="10.85546875" style="325" customWidth="1"/>
    <col min="12814" max="12814" width="11.42578125" style="325" customWidth="1"/>
    <col min="12815" max="12815" width="12" style="325" customWidth="1"/>
    <col min="12816" max="12816" width="11.85546875" style="325" customWidth="1"/>
    <col min="12817" max="12817" width="9.5703125" style="325" customWidth="1"/>
    <col min="12818" max="12818" width="11.42578125" style="325" customWidth="1"/>
    <col min="12819" max="12819" width="11" style="325" customWidth="1"/>
    <col min="12820" max="12820" width="11.5703125" style="325" customWidth="1"/>
    <col min="12821" max="12821" width="10.140625" style="325" customWidth="1"/>
    <col min="12822" max="12822" width="12.85546875" style="325" customWidth="1"/>
    <col min="12823" max="13054" width="9.140625" style="325"/>
    <col min="13055" max="13055" width="38.140625" style="325" customWidth="1"/>
    <col min="13056" max="13057" width="11.85546875" style="325" customWidth="1"/>
    <col min="13058" max="13058" width="9.140625" style="325"/>
    <col min="13059" max="13059" width="13.140625" style="325" customWidth="1"/>
    <col min="13060" max="13060" width="11.85546875" style="325" customWidth="1"/>
    <col min="13061" max="13061" width="11.42578125" style="325" customWidth="1"/>
    <col min="13062" max="13062" width="10.42578125" style="325" customWidth="1"/>
    <col min="13063" max="13063" width="10.85546875" style="325" customWidth="1"/>
    <col min="13064" max="13065" width="0" style="325" hidden="1" customWidth="1"/>
    <col min="13066" max="13069" width="10.85546875" style="325" customWidth="1"/>
    <col min="13070" max="13070" width="11.42578125" style="325" customWidth="1"/>
    <col min="13071" max="13071" width="12" style="325" customWidth="1"/>
    <col min="13072" max="13072" width="11.85546875" style="325" customWidth="1"/>
    <col min="13073" max="13073" width="9.5703125" style="325" customWidth="1"/>
    <col min="13074" max="13074" width="11.42578125" style="325" customWidth="1"/>
    <col min="13075" max="13075" width="11" style="325" customWidth="1"/>
    <col min="13076" max="13076" width="11.5703125" style="325" customWidth="1"/>
    <col min="13077" max="13077" width="10.140625" style="325" customWidth="1"/>
    <col min="13078" max="13078" width="12.85546875" style="325" customWidth="1"/>
    <col min="13079" max="13310" width="9.140625" style="325"/>
    <col min="13311" max="13311" width="38.140625" style="325" customWidth="1"/>
    <col min="13312" max="13313" width="11.85546875" style="325" customWidth="1"/>
    <col min="13314" max="13314" width="9.140625" style="325"/>
    <col min="13315" max="13315" width="13.140625" style="325" customWidth="1"/>
    <col min="13316" max="13316" width="11.85546875" style="325" customWidth="1"/>
    <col min="13317" max="13317" width="11.42578125" style="325" customWidth="1"/>
    <col min="13318" max="13318" width="10.42578125" style="325" customWidth="1"/>
    <col min="13319" max="13319" width="10.85546875" style="325" customWidth="1"/>
    <col min="13320" max="13321" width="0" style="325" hidden="1" customWidth="1"/>
    <col min="13322" max="13325" width="10.85546875" style="325" customWidth="1"/>
    <col min="13326" max="13326" width="11.42578125" style="325" customWidth="1"/>
    <col min="13327" max="13327" width="12" style="325" customWidth="1"/>
    <col min="13328" max="13328" width="11.85546875" style="325" customWidth="1"/>
    <col min="13329" max="13329" width="9.5703125" style="325" customWidth="1"/>
    <col min="13330" max="13330" width="11.42578125" style="325" customWidth="1"/>
    <col min="13331" max="13331" width="11" style="325" customWidth="1"/>
    <col min="13332" max="13332" width="11.5703125" style="325" customWidth="1"/>
    <col min="13333" max="13333" width="10.140625" style="325" customWidth="1"/>
    <col min="13334" max="13334" width="12.85546875" style="325" customWidth="1"/>
    <col min="13335" max="13566" width="9.140625" style="325"/>
    <col min="13567" max="13567" width="38.140625" style="325" customWidth="1"/>
    <col min="13568" max="13569" width="11.85546875" style="325" customWidth="1"/>
    <col min="13570" max="13570" width="9.140625" style="325"/>
    <col min="13571" max="13571" width="13.140625" style="325" customWidth="1"/>
    <col min="13572" max="13572" width="11.85546875" style="325" customWidth="1"/>
    <col min="13573" max="13573" width="11.42578125" style="325" customWidth="1"/>
    <col min="13574" max="13574" width="10.42578125" style="325" customWidth="1"/>
    <col min="13575" max="13575" width="10.85546875" style="325" customWidth="1"/>
    <col min="13576" max="13577" width="0" style="325" hidden="1" customWidth="1"/>
    <col min="13578" max="13581" width="10.85546875" style="325" customWidth="1"/>
    <col min="13582" max="13582" width="11.42578125" style="325" customWidth="1"/>
    <col min="13583" max="13583" width="12" style="325" customWidth="1"/>
    <col min="13584" max="13584" width="11.85546875" style="325" customWidth="1"/>
    <col min="13585" max="13585" width="9.5703125" style="325" customWidth="1"/>
    <col min="13586" max="13586" width="11.42578125" style="325" customWidth="1"/>
    <col min="13587" max="13587" width="11" style="325" customWidth="1"/>
    <col min="13588" max="13588" width="11.5703125" style="325" customWidth="1"/>
    <col min="13589" max="13589" width="10.140625" style="325" customWidth="1"/>
    <col min="13590" max="13590" width="12.85546875" style="325" customWidth="1"/>
    <col min="13591" max="13822" width="9.140625" style="325"/>
    <col min="13823" max="13823" width="38.140625" style="325" customWidth="1"/>
    <col min="13824" max="13825" width="11.85546875" style="325" customWidth="1"/>
    <col min="13826" max="13826" width="9.140625" style="325"/>
    <col min="13827" max="13827" width="13.140625" style="325" customWidth="1"/>
    <col min="13828" max="13828" width="11.85546875" style="325" customWidth="1"/>
    <col min="13829" max="13829" width="11.42578125" style="325" customWidth="1"/>
    <col min="13830" max="13830" width="10.42578125" style="325" customWidth="1"/>
    <col min="13831" max="13831" width="10.85546875" style="325" customWidth="1"/>
    <col min="13832" max="13833" width="0" style="325" hidden="1" customWidth="1"/>
    <col min="13834" max="13837" width="10.85546875" style="325" customWidth="1"/>
    <col min="13838" max="13838" width="11.42578125" style="325" customWidth="1"/>
    <col min="13839" max="13839" width="12" style="325" customWidth="1"/>
    <col min="13840" max="13840" width="11.85546875" style="325" customWidth="1"/>
    <col min="13841" max="13841" width="9.5703125" style="325" customWidth="1"/>
    <col min="13842" max="13842" width="11.42578125" style="325" customWidth="1"/>
    <col min="13843" max="13843" width="11" style="325" customWidth="1"/>
    <col min="13844" max="13844" width="11.5703125" style="325" customWidth="1"/>
    <col min="13845" max="13845" width="10.140625" style="325" customWidth="1"/>
    <col min="13846" max="13846" width="12.85546875" style="325" customWidth="1"/>
    <col min="13847" max="14078" width="9.140625" style="325"/>
    <col min="14079" max="14079" width="38.140625" style="325" customWidth="1"/>
    <col min="14080" max="14081" width="11.85546875" style="325" customWidth="1"/>
    <col min="14082" max="14082" width="9.140625" style="325"/>
    <col min="14083" max="14083" width="13.140625" style="325" customWidth="1"/>
    <col min="14084" max="14084" width="11.85546875" style="325" customWidth="1"/>
    <col min="14085" max="14085" width="11.42578125" style="325" customWidth="1"/>
    <col min="14086" max="14086" width="10.42578125" style="325" customWidth="1"/>
    <col min="14087" max="14087" width="10.85546875" style="325" customWidth="1"/>
    <col min="14088" max="14089" width="0" style="325" hidden="1" customWidth="1"/>
    <col min="14090" max="14093" width="10.85546875" style="325" customWidth="1"/>
    <col min="14094" max="14094" width="11.42578125" style="325" customWidth="1"/>
    <col min="14095" max="14095" width="12" style="325" customWidth="1"/>
    <col min="14096" max="14096" width="11.85546875" style="325" customWidth="1"/>
    <col min="14097" max="14097" width="9.5703125" style="325" customWidth="1"/>
    <col min="14098" max="14098" width="11.42578125" style="325" customWidth="1"/>
    <col min="14099" max="14099" width="11" style="325" customWidth="1"/>
    <col min="14100" max="14100" width="11.5703125" style="325" customWidth="1"/>
    <col min="14101" max="14101" width="10.140625" style="325" customWidth="1"/>
    <col min="14102" max="14102" width="12.85546875" style="325" customWidth="1"/>
    <col min="14103" max="14334" width="9.140625" style="325"/>
    <col min="14335" max="14335" width="38.140625" style="325" customWidth="1"/>
    <col min="14336" max="14337" width="11.85546875" style="325" customWidth="1"/>
    <col min="14338" max="14338" width="9.140625" style="325"/>
    <col min="14339" max="14339" width="13.140625" style="325" customWidth="1"/>
    <col min="14340" max="14340" width="11.85546875" style="325" customWidth="1"/>
    <col min="14341" max="14341" width="11.42578125" style="325" customWidth="1"/>
    <col min="14342" max="14342" width="10.42578125" style="325" customWidth="1"/>
    <col min="14343" max="14343" width="10.85546875" style="325" customWidth="1"/>
    <col min="14344" max="14345" width="0" style="325" hidden="1" customWidth="1"/>
    <col min="14346" max="14349" width="10.85546875" style="325" customWidth="1"/>
    <col min="14350" max="14350" width="11.42578125" style="325" customWidth="1"/>
    <col min="14351" max="14351" width="12" style="325" customWidth="1"/>
    <col min="14352" max="14352" width="11.85546875" style="325" customWidth="1"/>
    <col min="14353" max="14353" width="9.5703125" style="325" customWidth="1"/>
    <col min="14354" max="14354" width="11.42578125" style="325" customWidth="1"/>
    <col min="14355" max="14355" width="11" style="325" customWidth="1"/>
    <col min="14356" max="14356" width="11.5703125" style="325" customWidth="1"/>
    <col min="14357" max="14357" width="10.140625" style="325" customWidth="1"/>
    <col min="14358" max="14358" width="12.85546875" style="325" customWidth="1"/>
    <col min="14359" max="14590" width="9.140625" style="325"/>
    <col min="14591" max="14591" width="38.140625" style="325" customWidth="1"/>
    <col min="14592" max="14593" width="11.85546875" style="325" customWidth="1"/>
    <col min="14594" max="14594" width="9.140625" style="325"/>
    <col min="14595" max="14595" width="13.140625" style="325" customWidth="1"/>
    <col min="14596" max="14596" width="11.85546875" style="325" customWidth="1"/>
    <col min="14597" max="14597" width="11.42578125" style="325" customWidth="1"/>
    <col min="14598" max="14598" width="10.42578125" style="325" customWidth="1"/>
    <col min="14599" max="14599" width="10.85546875" style="325" customWidth="1"/>
    <col min="14600" max="14601" width="0" style="325" hidden="1" customWidth="1"/>
    <col min="14602" max="14605" width="10.85546875" style="325" customWidth="1"/>
    <col min="14606" max="14606" width="11.42578125" style="325" customWidth="1"/>
    <col min="14607" max="14607" width="12" style="325" customWidth="1"/>
    <col min="14608" max="14608" width="11.85546875" style="325" customWidth="1"/>
    <col min="14609" max="14609" width="9.5703125" style="325" customWidth="1"/>
    <col min="14610" max="14610" width="11.42578125" style="325" customWidth="1"/>
    <col min="14611" max="14611" width="11" style="325" customWidth="1"/>
    <col min="14612" max="14612" width="11.5703125" style="325" customWidth="1"/>
    <col min="14613" max="14613" width="10.140625" style="325" customWidth="1"/>
    <col min="14614" max="14614" width="12.85546875" style="325" customWidth="1"/>
    <col min="14615" max="14846" width="9.140625" style="325"/>
    <col min="14847" max="14847" width="38.140625" style="325" customWidth="1"/>
    <col min="14848" max="14849" width="11.85546875" style="325" customWidth="1"/>
    <col min="14850" max="14850" width="9.140625" style="325"/>
    <col min="14851" max="14851" width="13.140625" style="325" customWidth="1"/>
    <col min="14852" max="14852" width="11.85546875" style="325" customWidth="1"/>
    <col min="14853" max="14853" width="11.42578125" style="325" customWidth="1"/>
    <col min="14854" max="14854" width="10.42578125" style="325" customWidth="1"/>
    <col min="14855" max="14855" width="10.85546875" style="325" customWidth="1"/>
    <col min="14856" max="14857" width="0" style="325" hidden="1" customWidth="1"/>
    <col min="14858" max="14861" width="10.85546875" style="325" customWidth="1"/>
    <col min="14862" max="14862" width="11.42578125" style="325" customWidth="1"/>
    <col min="14863" max="14863" width="12" style="325" customWidth="1"/>
    <col min="14864" max="14864" width="11.85546875" style="325" customWidth="1"/>
    <col min="14865" max="14865" width="9.5703125" style="325" customWidth="1"/>
    <col min="14866" max="14866" width="11.42578125" style="325" customWidth="1"/>
    <col min="14867" max="14867" width="11" style="325" customWidth="1"/>
    <col min="14868" max="14868" width="11.5703125" style="325" customWidth="1"/>
    <col min="14869" max="14869" width="10.140625" style="325" customWidth="1"/>
    <col min="14870" max="14870" width="12.85546875" style="325" customWidth="1"/>
    <col min="14871" max="15102" width="9.140625" style="325"/>
    <col min="15103" max="15103" width="38.140625" style="325" customWidth="1"/>
    <col min="15104" max="15105" width="11.85546875" style="325" customWidth="1"/>
    <col min="15106" max="15106" width="9.140625" style="325"/>
    <col min="15107" max="15107" width="13.140625" style="325" customWidth="1"/>
    <col min="15108" max="15108" width="11.85546875" style="325" customWidth="1"/>
    <col min="15109" max="15109" width="11.42578125" style="325" customWidth="1"/>
    <col min="15110" max="15110" width="10.42578125" style="325" customWidth="1"/>
    <col min="15111" max="15111" width="10.85546875" style="325" customWidth="1"/>
    <col min="15112" max="15113" width="0" style="325" hidden="1" customWidth="1"/>
    <col min="15114" max="15117" width="10.85546875" style="325" customWidth="1"/>
    <col min="15118" max="15118" width="11.42578125" style="325" customWidth="1"/>
    <col min="15119" max="15119" width="12" style="325" customWidth="1"/>
    <col min="15120" max="15120" width="11.85546875" style="325" customWidth="1"/>
    <col min="15121" max="15121" width="9.5703125" style="325" customWidth="1"/>
    <col min="15122" max="15122" width="11.42578125" style="325" customWidth="1"/>
    <col min="15123" max="15123" width="11" style="325" customWidth="1"/>
    <col min="15124" max="15124" width="11.5703125" style="325" customWidth="1"/>
    <col min="15125" max="15125" width="10.140625" style="325" customWidth="1"/>
    <col min="15126" max="15126" width="12.85546875" style="325" customWidth="1"/>
    <col min="15127" max="15358" width="9.140625" style="325"/>
    <col min="15359" max="15359" width="38.140625" style="325" customWidth="1"/>
    <col min="15360" max="15361" width="11.85546875" style="325" customWidth="1"/>
    <col min="15362" max="15362" width="9.140625" style="325"/>
    <col min="15363" max="15363" width="13.140625" style="325" customWidth="1"/>
    <col min="15364" max="15364" width="11.85546875" style="325" customWidth="1"/>
    <col min="15365" max="15365" width="11.42578125" style="325" customWidth="1"/>
    <col min="15366" max="15366" width="10.42578125" style="325" customWidth="1"/>
    <col min="15367" max="15367" width="10.85546875" style="325" customWidth="1"/>
    <col min="15368" max="15369" width="0" style="325" hidden="1" customWidth="1"/>
    <col min="15370" max="15373" width="10.85546875" style="325" customWidth="1"/>
    <col min="15374" max="15374" width="11.42578125" style="325" customWidth="1"/>
    <col min="15375" max="15375" width="12" style="325" customWidth="1"/>
    <col min="15376" max="15376" width="11.85546875" style="325" customWidth="1"/>
    <col min="15377" max="15377" width="9.5703125" style="325" customWidth="1"/>
    <col min="15378" max="15378" width="11.42578125" style="325" customWidth="1"/>
    <col min="15379" max="15379" width="11" style="325" customWidth="1"/>
    <col min="15380" max="15380" width="11.5703125" style="325" customWidth="1"/>
    <col min="15381" max="15381" width="10.140625" style="325" customWidth="1"/>
    <col min="15382" max="15382" width="12.85546875" style="325" customWidth="1"/>
    <col min="15383" max="15614" width="9.140625" style="325"/>
    <col min="15615" max="15615" width="38.140625" style="325" customWidth="1"/>
    <col min="15616" max="15617" width="11.85546875" style="325" customWidth="1"/>
    <col min="15618" max="15618" width="9.140625" style="325"/>
    <col min="15619" max="15619" width="13.140625" style="325" customWidth="1"/>
    <col min="15620" max="15620" width="11.85546875" style="325" customWidth="1"/>
    <col min="15621" max="15621" width="11.42578125" style="325" customWidth="1"/>
    <col min="15622" max="15622" width="10.42578125" style="325" customWidth="1"/>
    <col min="15623" max="15623" width="10.85546875" style="325" customWidth="1"/>
    <col min="15624" max="15625" width="0" style="325" hidden="1" customWidth="1"/>
    <col min="15626" max="15629" width="10.85546875" style="325" customWidth="1"/>
    <col min="15630" max="15630" width="11.42578125" style="325" customWidth="1"/>
    <col min="15631" max="15631" width="12" style="325" customWidth="1"/>
    <col min="15632" max="15632" width="11.85546875" style="325" customWidth="1"/>
    <col min="15633" max="15633" width="9.5703125" style="325" customWidth="1"/>
    <col min="15634" max="15634" width="11.42578125" style="325" customWidth="1"/>
    <col min="15635" max="15635" width="11" style="325" customWidth="1"/>
    <col min="15636" max="15636" width="11.5703125" style="325" customWidth="1"/>
    <col min="15637" max="15637" width="10.140625" style="325" customWidth="1"/>
    <col min="15638" max="15638" width="12.85546875" style="325" customWidth="1"/>
    <col min="15639" max="15870" width="9.140625" style="325"/>
    <col min="15871" max="15871" width="38.140625" style="325" customWidth="1"/>
    <col min="15872" max="15873" width="11.85546875" style="325" customWidth="1"/>
    <col min="15874" max="15874" width="9.140625" style="325"/>
    <col min="15875" max="15875" width="13.140625" style="325" customWidth="1"/>
    <col min="15876" max="15876" width="11.85546875" style="325" customWidth="1"/>
    <col min="15877" max="15877" width="11.42578125" style="325" customWidth="1"/>
    <col min="15878" max="15878" width="10.42578125" style="325" customWidth="1"/>
    <col min="15879" max="15879" width="10.85546875" style="325" customWidth="1"/>
    <col min="15880" max="15881" width="0" style="325" hidden="1" customWidth="1"/>
    <col min="15882" max="15885" width="10.85546875" style="325" customWidth="1"/>
    <col min="15886" max="15886" width="11.42578125" style="325" customWidth="1"/>
    <col min="15887" max="15887" width="12" style="325" customWidth="1"/>
    <col min="15888" max="15888" width="11.85546875" style="325" customWidth="1"/>
    <col min="15889" max="15889" width="9.5703125" style="325" customWidth="1"/>
    <col min="15890" max="15890" width="11.42578125" style="325" customWidth="1"/>
    <col min="15891" max="15891" width="11" style="325" customWidth="1"/>
    <col min="15892" max="15892" width="11.5703125" style="325" customWidth="1"/>
    <col min="15893" max="15893" width="10.140625" style="325" customWidth="1"/>
    <col min="15894" max="15894" width="12.85546875" style="325" customWidth="1"/>
    <col min="15895" max="16126" width="9.140625" style="325"/>
    <col min="16127" max="16127" width="38.140625" style="325" customWidth="1"/>
    <col min="16128" max="16129" width="11.85546875" style="325" customWidth="1"/>
    <col min="16130" max="16130" width="9.140625" style="325"/>
    <col min="16131" max="16131" width="13.140625" style="325" customWidth="1"/>
    <col min="16132" max="16132" width="11.85546875" style="325" customWidth="1"/>
    <col min="16133" max="16133" width="11.42578125" style="325" customWidth="1"/>
    <col min="16134" max="16134" width="10.42578125" style="325" customWidth="1"/>
    <col min="16135" max="16135" width="10.85546875" style="325" customWidth="1"/>
    <col min="16136" max="16137" width="0" style="325" hidden="1" customWidth="1"/>
    <col min="16138" max="16141" width="10.85546875" style="325" customWidth="1"/>
    <col min="16142" max="16142" width="11.42578125" style="325" customWidth="1"/>
    <col min="16143" max="16143" width="12" style="325" customWidth="1"/>
    <col min="16144" max="16144" width="11.85546875" style="325" customWidth="1"/>
    <col min="16145" max="16145" width="9.5703125" style="325" customWidth="1"/>
    <col min="16146" max="16146" width="11.42578125" style="325" customWidth="1"/>
    <col min="16147" max="16147" width="11" style="325" customWidth="1"/>
    <col min="16148" max="16148" width="11.5703125" style="325" customWidth="1"/>
    <col min="16149" max="16149" width="10.140625" style="325" customWidth="1"/>
    <col min="16150" max="16150" width="12.85546875" style="325" customWidth="1"/>
    <col min="16151" max="16384" width="9.140625" style="325"/>
  </cols>
  <sheetData>
    <row r="1" spans="1:25">
      <c r="A1" s="506" t="s">
        <v>338</v>
      </c>
      <c r="B1" s="506"/>
      <c r="V1" s="337"/>
    </row>
    <row r="2" spans="1:25" s="292" customFormat="1" ht="22.5" customHeight="1">
      <c r="A2" s="507" t="s">
        <v>339</v>
      </c>
      <c r="B2" s="507"/>
      <c r="C2" s="328"/>
      <c r="D2" s="290"/>
      <c r="E2" s="290"/>
      <c r="F2" s="290"/>
      <c r="G2" s="290"/>
      <c r="H2" s="291"/>
      <c r="I2" s="291"/>
      <c r="J2" s="291"/>
      <c r="K2" s="291"/>
      <c r="L2" s="291"/>
      <c r="M2" s="291"/>
      <c r="N2" s="358"/>
      <c r="O2" s="358"/>
      <c r="P2" s="358"/>
      <c r="Q2" s="358"/>
      <c r="R2" s="358"/>
      <c r="S2" s="358"/>
      <c r="T2" s="358"/>
      <c r="U2" s="358"/>
      <c r="V2" s="291"/>
    </row>
    <row r="3" spans="1:25" s="292" customFormat="1">
      <c r="A3" s="293"/>
      <c r="B3" s="1"/>
      <c r="C3" s="2"/>
      <c r="D3" s="2"/>
      <c r="E3" s="2"/>
      <c r="F3" s="2"/>
      <c r="G3" s="2"/>
      <c r="H3" s="291"/>
      <c r="I3" s="291"/>
      <c r="J3" s="291"/>
      <c r="K3" s="291"/>
      <c r="L3" s="291"/>
      <c r="M3" s="291"/>
      <c r="N3" s="358"/>
      <c r="O3" s="358"/>
      <c r="P3" s="358"/>
      <c r="Q3" s="358"/>
      <c r="R3" s="358"/>
      <c r="S3" s="358"/>
      <c r="T3" s="358"/>
      <c r="U3" s="358"/>
      <c r="V3" s="291"/>
    </row>
    <row r="4" spans="1:25" s="1" customFormat="1" ht="21.75" customHeight="1">
      <c r="A4" s="509" t="s">
        <v>857</v>
      </c>
      <c r="B4" s="509"/>
      <c r="C4" s="509"/>
      <c r="D4" s="509"/>
      <c r="E4" s="509"/>
      <c r="F4" s="509"/>
      <c r="G4" s="509"/>
      <c r="H4" s="509"/>
      <c r="I4" s="509"/>
      <c r="J4" s="509"/>
      <c r="K4" s="509"/>
      <c r="L4" s="509"/>
      <c r="M4" s="509"/>
      <c r="N4" s="509"/>
      <c r="O4" s="509"/>
      <c r="P4" s="509"/>
      <c r="Q4" s="509"/>
      <c r="R4" s="509"/>
      <c r="S4" s="509"/>
      <c r="T4" s="509"/>
      <c r="U4" s="509"/>
      <c r="V4" s="509"/>
    </row>
    <row r="5" spans="1:25" s="1" customFormat="1" ht="21.75" customHeight="1">
      <c r="A5" s="510" t="s">
        <v>856</v>
      </c>
      <c r="B5" s="510"/>
      <c r="C5" s="510"/>
      <c r="D5" s="510"/>
      <c r="E5" s="510"/>
      <c r="F5" s="510"/>
      <c r="G5" s="510"/>
      <c r="H5" s="510"/>
      <c r="I5" s="510"/>
      <c r="J5" s="510"/>
      <c r="K5" s="510"/>
      <c r="L5" s="510"/>
      <c r="M5" s="510"/>
      <c r="N5" s="510"/>
      <c r="O5" s="510"/>
      <c r="P5" s="510"/>
      <c r="Q5" s="510"/>
      <c r="R5" s="510"/>
      <c r="S5" s="510"/>
      <c r="T5" s="510"/>
      <c r="U5" s="510"/>
      <c r="V5" s="510"/>
    </row>
    <row r="6" spans="1:25" s="1" customFormat="1" ht="26.45" customHeight="1">
      <c r="A6" s="511" t="s">
        <v>0</v>
      </c>
      <c r="B6" s="511"/>
      <c r="C6" s="511"/>
      <c r="D6" s="511"/>
      <c r="E6" s="511"/>
      <c r="F6" s="511"/>
      <c r="G6" s="511"/>
      <c r="H6" s="511"/>
      <c r="I6" s="511"/>
      <c r="J6" s="511"/>
      <c r="K6" s="511"/>
      <c r="L6" s="511"/>
      <c r="M6" s="511"/>
      <c r="N6" s="511"/>
      <c r="O6" s="511"/>
      <c r="P6" s="511"/>
      <c r="Q6" s="511"/>
      <c r="R6" s="511"/>
      <c r="S6" s="511"/>
      <c r="T6" s="511"/>
      <c r="U6" s="511"/>
      <c r="V6" s="511"/>
    </row>
    <row r="7" spans="1:25" s="327" customFormat="1" ht="29.25" customHeight="1">
      <c r="A7" s="508" t="s">
        <v>1</v>
      </c>
      <c r="B7" s="508" t="s">
        <v>2</v>
      </c>
      <c r="C7" s="508" t="s">
        <v>3</v>
      </c>
      <c r="D7" s="508" t="s">
        <v>818</v>
      </c>
      <c r="E7" s="508" t="s">
        <v>5</v>
      </c>
      <c r="F7" s="508" t="s">
        <v>6</v>
      </c>
      <c r="G7" s="508"/>
      <c r="H7" s="508"/>
      <c r="I7" s="508"/>
      <c r="J7" s="508"/>
      <c r="K7" s="508"/>
      <c r="L7" s="508" t="s">
        <v>819</v>
      </c>
      <c r="M7" s="508"/>
      <c r="N7" s="508" t="s">
        <v>8</v>
      </c>
      <c r="O7" s="508"/>
      <c r="P7" s="508"/>
      <c r="Q7" s="508"/>
      <c r="R7" s="508" t="s">
        <v>9</v>
      </c>
      <c r="S7" s="508"/>
      <c r="T7" s="508"/>
      <c r="U7" s="508"/>
      <c r="V7" s="508" t="s">
        <v>109</v>
      </c>
    </row>
    <row r="8" spans="1:25" s="296" customFormat="1" ht="52.5" customHeight="1">
      <c r="A8" s="508"/>
      <c r="B8" s="508"/>
      <c r="C8" s="508"/>
      <c r="D8" s="508"/>
      <c r="E8" s="508"/>
      <c r="F8" s="508" t="s">
        <v>10</v>
      </c>
      <c r="G8" s="294"/>
      <c r="H8" s="508" t="s">
        <v>12</v>
      </c>
      <c r="I8" s="508"/>
      <c r="J8" s="508"/>
      <c r="K8" s="508"/>
      <c r="L8" s="508"/>
      <c r="M8" s="508"/>
      <c r="N8" s="508" t="s">
        <v>13</v>
      </c>
      <c r="O8" s="514" t="s">
        <v>111</v>
      </c>
      <c r="P8" s="515"/>
      <c r="Q8" s="515"/>
      <c r="R8" s="508" t="s">
        <v>13</v>
      </c>
      <c r="S8" s="514" t="s">
        <v>111</v>
      </c>
      <c r="T8" s="515"/>
      <c r="U8" s="515"/>
      <c r="V8" s="508"/>
    </row>
    <row r="9" spans="1:25" s="296" customFormat="1" ht="20.25" customHeight="1">
      <c r="A9" s="508"/>
      <c r="B9" s="508"/>
      <c r="C9" s="508"/>
      <c r="D9" s="508"/>
      <c r="E9" s="508"/>
      <c r="F9" s="508"/>
      <c r="G9" s="294"/>
      <c r="H9" s="508" t="s">
        <v>13</v>
      </c>
      <c r="I9" s="512" t="s">
        <v>879</v>
      </c>
      <c r="J9" s="508" t="s">
        <v>15</v>
      </c>
      <c r="K9" s="508" t="s">
        <v>883</v>
      </c>
      <c r="L9" s="508" t="s">
        <v>13</v>
      </c>
      <c r="M9" s="508" t="s">
        <v>880</v>
      </c>
      <c r="N9" s="508"/>
      <c r="O9" s="512" t="s">
        <v>881</v>
      </c>
      <c r="P9" s="508" t="s">
        <v>15</v>
      </c>
      <c r="Q9" s="516" t="s">
        <v>882</v>
      </c>
      <c r="R9" s="508"/>
      <c r="S9" s="512" t="s">
        <v>881</v>
      </c>
      <c r="T9" s="508" t="s">
        <v>15</v>
      </c>
      <c r="U9" s="516" t="s">
        <v>882</v>
      </c>
      <c r="V9" s="508"/>
    </row>
    <row r="10" spans="1:25" s="296" customFormat="1" ht="89.25" customHeight="1">
      <c r="A10" s="508"/>
      <c r="B10" s="508"/>
      <c r="C10" s="508"/>
      <c r="D10" s="508"/>
      <c r="E10" s="508"/>
      <c r="F10" s="508"/>
      <c r="G10" s="294"/>
      <c r="H10" s="508"/>
      <c r="I10" s="513"/>
      <c r="J10" s="508"/>
      <c r="K10" s="508"/>
      <c r="L10" s="508"/>
      <c r="M10" s="508"/>
      <c r="N10" s="508"/>
      <c r="O10" s="513"/>
      <c r="P10" s="508"/>
      <c r="Q10" s="517"/>
      <c r="R10" s="508"/>
      <c r="S10" s="513"/>
      <c r="T10" s="508"/>
      <c r="U10" s="517"/>
      <c r="V10" s="508"/>
    </row>
    <row r="11" spans="1:25" s="296" customFormat="1">
      <c r="A11" s="294">
        <v>1</v>
      </c>
      <c r="B11" s="294">
        <v>2</v>
      </c>
      <c r="C11" s="294">
        <v>3</v>
      </c>
      <c r="D11" s="294">
        <v>4</v>
      </c>
      <c r="E11" s="294">
        <v>5</v>
      </c>
      <c r="F11" s="294">
        <v>6</v>
      </c>
      <c r="G11" s="294"/>
      <c r="H11" s="294">
        <v>7</v>
      </c>
      <c r="I11" s="294">
        <v>8</v>
      </c>
      <c r="J11" s="294">
        <v>9</v>
      </c>
      <c r="K11" s="294">
        <v>9</v>
      </c>
      <c r="L11" s="294">
        <v>10</v>
      </c>
      <c r="M11" s="294">
        <v>11</v>
      </c>
      <c r="N11" s="294">
        <v>12</v>
      </c>
      <c r="O11" s="294">
        <v>13</v>
      </c>
      <c r="P11" s="294">
        <v>14</v>
      </c>
      <c r="Q11" s="294">
        <v>15</v>
      </c>
      <c r="R11" s="294">
        <v>16</v>
      </c>
      <c r="S11" s="294">
        <v>17</v>
      </c>
      <c r="T11" s="294">
        <v>18</v>
      </c>
      <c r="U11" s="294">
        <v>19</v>
      </c>
      <c r="V11" s="294">
        <v>20</v>
      </c>
    </row>
    <row r="12" spans="1:25" s="296" customFormat="1">
      <c r="A12" s="294"/>
      <c r="B12" s="294" t="s">
        <v>18</v>
      </c>
      <c r="C12" s="294"/>
      <c r="D12" s="294"/>
      <c r="E12" s="294"/>
      <c r="F12" s="294"/>
      <c r="G12" s="294"/>
      <c r="H12" s="295">
        <f t="shared" ref="H12" si="0">+H13+H34</f>
        <v>265168.9534</v>
      </c>
      <c r="I12" s="295">
        <f t="shared" ref="I12:U12" si="1">+I13+I34</f>
        <v>0</v>
      </c>
      <c r="J12" s="295">
        <f t="shared" si="1"/>
        <v>246856.29740000001</v>
      </c>
      <c r="K12" s="295">
        <f t="shared" si="1"/>
        <v>0</v>
      </c>
      <c r="L12" s="295">
        <f t="shared" si="1"/>
        <v>184016.77899999998</v>
      </c>
      <c r="M12" s="295">
        <f t="shared" si="1"/>
        <v>165009.95000000001</v>
      </c>
      <c r="N12" s="295">
        <f t="shared" si="1"/>
        <v>64499.14</v>
      </c>
      <c r="O12" s="295">
        <f t="shared" si="1"/>
        <v>0</v>
      </c>
      <c r="P12" s="295">
        <f t="shared" si="1"/>
        <v>64499.14</v>
      </c>
      <c r="Q12" s="295">
        <f t="shared" si="1"/>
        <v>0</v>
      </c>
      <c r="R12" s="295">
        <f t="shared" si="1"/>
        <v>59736.14</v>
      </c>
      <c r="S12" s="295">
        <f t="shared" si="1"/>
        <v>0</v>
      </c>
      <c r="T12" s="295">
        <f t="shared" si="1"/>
        <v>59736.14</v>
      </c>
      <c r="U12" s="295">
        <f t="shared" si="1"/>
        <v>0</v>
      </c>
      <c r="V12" s="294"/>
    </row>
    <row r="13" spans="1:25" s="302" customFormat="1" ht="31.5">
      <c r="A13" s="297" t="s">
        <v>19</v>
      </c>
      <c r="B13" s="298" t="s">
        <v>30</v>
      </c>
      <c r="C13" s="298"/>
      <c r="D13" s="298"/>
      <c r="E13" s="299"/>
      <c r="F13" s="300"/>
      <c r="G13" s="300"/>
      <c r="H13" s="301">
        <f>SUM(H14:H33)</f>
        <v>174923.7384</v>
      </c>
      <c r="I13" s="301">
        <f t="shared" ref="I13:U13" si="2">SUM(I14:I33)</f>
        <v>0</v>
      </c>
      <c r="J13" s="301">
        <f t="shared" si="2"/>
        <v>158111.08240000001</v>
      </c>
      <c r="K13" s="301">
        <f t="shared" si="2"/>
        <v>0</v>
      </c>
      <c r="L13" s="301">
        <f t="shared" si="2"/>
        <v>140516.77899999998</v>
      </c>
      <c r="M13" s="301">
        <f t="shared" si="2"/>
        <v>123009.95</v>
      </c>
      <c r="N13" s="301">
        <f t="shared" si="2"/>
        <v>25148.428</v>
      </c>
      <c r="O13" s="301">
        <f t="shared" si="2"/>
        <v>0</v>
      </c>
      <c r="P13" s="301">
        <f t="shared" si="2"/>
        <v>25148.428</v>
      </c>
      <c r="Q13" s="301">
        <f t="shared" si="2"/>
        <v>0</v>
      </c>
      <c r="R13" s="301">
        <f t="shared" si="2"/>
        <v>25148.428</v>
      </c>
      <c r="S13" s="301">
        <f t="shared" si="2"/>
        <v>0</v>
      </c>
      <c r="T13" s="301">
        <f t="shared" si="2"/>
        <v>25148.428</v>
      </c>
      <c r="U13" s="301">
        <f t="shared" si="2"/>
        <v>0</v>
      </c>
      <c r="V13" s="300"/>
      <c r="X13" s="303"/>
      <c r="Y13" s="303"/>
    </row>
    <row r="14" spans="1:25" s="303" customFormat="1" ht="78.75">
      <c r="A14" s="304">
        <v>1</v>
      </c>
      <c r="B14" s="308" t="s">
        <v>160</v>
      </c>
      <c r="C14" s="309" t="s">
        <v>38</v>
      </c>
      <c r="D14" s="309" t="s">
        <v>824</v>
      </c>
      <c r="E14" s="309" t="s">
        <v>156</v>
      </c>
      <c r="F14" s="310" t="s">
        <v>161</v>
      </c>
      <c r="G14" s="310"/>
      <c r="H14" s="305">
        <v>11372.697</v>
      </c>
      <c r="I14" s="305"/>
      <c r="J14" s="305">
        <v>5560.0410000000002</v>
      </c>
      <c r="K14" s="305"/>
      <c r="L14" s="305">
        <v>9891.5789999999997</v>
      </c>
      <c r="M14" s="305">
        <v>5391.5789999999997</v>
      </c>
      <c r="N14" s="305">
        <v>6.5550000000012005</v>
      </c>
      <c r="O14" s="305"/>
      <c r="P14" s="305">
        <v>6.5550000000012005</v>
      </c>
      <c r="Q14" s="305"/>
      <c r="R14" s="305">
        <v>6.5550000000012005</v>
      </c>
      <c r="S14" s="305"/>
      <c r="T14" s="306">
        <v>6.5550000000012005</v>
      </c>
      <c r="U14" s="305"/>
      <c r="V14" s="310"/>
    </row>
    <row r="15" spans="1:25" s="303" customFormat="1" ht="78.75">
      <c r="A15" s="307">
        <v>2</v>
      </c>
      <c r="B15" s="308" t="s">
        <v>214</v>
      </c>
      <c r="C15" s="309" t="s">
        <v>46</v>
      </c>
      <c r="D15" s="309" t="s">
        <v>822</v>
      </c>
      <c r="E15" s="309" t="s">
        <v>206</v>
      </c>
      <c r="F15" s="310" t="s">
        <v>215</v>
      </c>
      <c r="G15" s="310"/>
      <c r="H15" s="305">
        <v>3749</v>
      </c>
      <c r="I15" s="305"/>
      <c r="J15" s="305">
        <v>3749</v>
      </c>
      <c r="K15" s="305"/>
      <c r="L15" s="305">
        <v>3511.6210000000001</v>
      </c>
      <c r="M15" s="305">
        <v>1511.6210000000001</v>
      </c>
      <c r="N15" s="305">
        <v>0.98299999999971988</v>
      </c>
      <c r="O15" s="305"/>
      <c r="P15" s="305">
        <v>0.98299999999971988</v>
      </c>
      <c r="Q15" s="305"/>
      <c r="R15" s="305">
        <v>0.98299999999971988</v>
      </c>
      <c r="S15" s="305"/>
      <c r="T15" s="305">
        <v>0.98299999999971988</v>
      </c>
      <c r="U15" s="305"/>
      <c r="V15" s="310"/>
    </row>
    <row r="16" spans="1:25" s="330" customFormat="1" ht="78.75">
      <c r="A16" s="350">
        <v>3</v>
      </c>
      <c r="B16" s="351" t="s">
        <v>233</v>
      </c>
      <c r="C16" s="352" t="s">
        <v>828</v>
      </c>
      <c r="D16" s="352" t="s">
        <v>826</v>
      </c>
      <c r="E16" s="352" t="s">
        <v>219</v>
      </c>
      <c r="F16" s="353" t="s">
        <v>234</v>
      </c>
      <c r="G16" s="353"/>
      <c r="H16" s="354">
        <v>9305</v>
      </c>
      <c r="I16" s="354"/>
      <c r="J16" s="354">
        <v>9305</v>
      </c>
      <c r="K16" s="354"/>
      <c r="L16" s="354">
        <v>8000</v>
      </c>
      <c r="M16" s="354">
        <v>8000</v>
      </c>
      <c r="N16" s="354">
        <v>863</v>
      </c>
      <c r="O16" s="354"/>
      <c r="P16" s="354">
        <v>863</v>
      </c>
      <c r="Q16" s="354"/>
      <c r="R16" s="354">
        <v>863</v>
      </c>
      <c r="S16" s="354"/>
      <c r="T16" s="354">
        <v>863</v>
      </c>
      <c r="U16" s="354"/>
      <c r="V16" s="353"/>
    </row>
    <row r="17" spans="1:25" s="303" customFormat="1" ht="78.75">
      <c r="A17" s="307">
        <v>4</v>
      </c>
      <c r="B17" s="308" t="s">
        <v>829</v>
      </c>
      <c r="C17" s="309" t="s">
        <v>830</v>
      </c>
      <c r="D17" s="309" t="s">
        <v>821</v>
      </c>
      <c r="E17" s="309" t="s">
        <v>186</v>
      </c>
      <c r="F17" s="310" t="s">
        <v>200</v>
      </c>
      <c r="G17" s="310"/>
      <c r="H17" s="305">
        <v>8854</v>
      </c>
      <c r="I17" s="305"/>
      <c r="J17" s="305">
        <v>8854</v>
      </c>
      <c r="K17" s="305"/>
      <c r="L17" s="305">
        <v>8000</v>
      </c>
      <c r="M17" s="305">
        <v>8000</v>
      </c>
      <c r="N17" s="305">
        <v>195.33799999999974</v>
      </c>
      <c r="O17" s="305"/>
      <c r="P17" s="305">
        <v>195.33799999999974</v>
      </c>
      <c r="Q17" s="305"/>
      <c r="R17" s="305">
        <v>195.33799999999974</v>
      </c>
      <c r="S17" s="305"/>
      <c r="T17" s="305">
        <v>195.33799999999974</v>
      </c>
      <c r="U17" s="305"/>
      <c r="V17" s="310"/>
    </row>
    <row r="18" spans="1:25" s="311" customFormat="1" ht="78.75">
      <c r="A18" s="304">
        <v>5</v>
      </c>
      <c r="B18" s="308" t="s">
        <v>832</v>
      </c>
      <c r="C18" s="309" t="s">
        <v>820</v>
      </c>
      <c r="D18" s="309" t="s">
        <v>821</v>
      </c>
      <c r="E18" s="309" t="s">
        <v>206</v>
      </c>
      <c r="F18" s="310" t="s">
        <v>222</v>
      </c>
      <c r="G18" s="310"/>
      <c r="H18" s="305">
        <v>3708.585</v>
      </c>
      <c r="I18" s="305"/>
      <c r="J18" s="305">
        <v>3708.585</v>
      </c>
      <c r="K18" s="305"/>
      <c r="L18" s="305">
        <v>3480</v>
      </c>
      <c r="M18" s="305">
        <v>3480</v>
      </c>
      <c r="N18" s="305">
        <v>228.58500000000004</v>
      </c>
      <c r="O18" s="305"/>
      <c r="P18" s="306">
        <v>228.58500000000004</v>
      </c>
      <c r="Q18" s="305"/>
      <c r="R18" s="305">
        <v>228.58500000000004</v>
      </c>
      <c r="S18" s="305"/>
      <c r="T18" s="306">
        <v>228.58500000000004</v>
      </c>
      <c r="U18" s="305"/>
      <c r="V18" s="310"/>
      <c r="X18" s="303"/>
      <c r="Y18" s="303"/>
    </row>
    <row r="19" spans="1:25" s="303" customFormat="1" ht="78.75">
      <c r="A19" s="307">
        <v>6</v>
      </c>
      <c r="B19" s="308" t="s">
        <v>216</v>
      </c>
      <c r="C19" s="309" t="s">
        <v>40</v>
      </c>
      <c r="D19" s="309" t="s">
        <v>824</v>
      </c>
      <c r="E19" s="309" t="s">
        <v>219</v>
      </c>
      <c r="F19" s="310" t="s">
        <v>217</v>
      </c>
      <c r="G19" s="310"/>
      <c r="H19" s="305">
        <v>6075.0240000000003</v>
      </c>
      <c r="I19" s="305"/>
      <c r="J19" s="305">
        <v>6075.0240000000003</v>
      </c>
      <c r="K19" s="305"/>
      <c r="L19" s="305">
        <v>5606.8289999999997</v>
      </c>
      <c r="M19" s="305">
        <v>5600</v>
      </c>
      <c r="N19" s="305">
        <v>6.8289999999997235</v>
      </c>
      <c r="O19" s="305"/>
      <c r="P19" s="306">
        <v>6.8289999999997235</v>
      </c>
      <c r="Q19" s="305"/>
      <c r="R19" s="305">
        <v>6.8289999999997235</v>
      </c>
      <c r="S19" s="305"/>
      <c r="T19" s="306">
        <v>6.8289999999997235</v>
      </c>
      <c r="U19" s="305"/>
      <c r="V19" s="310"/>
    </row>
    <row r="20" spans="1:25" s="330" customFormat="1" ht="78.75">
      <c r="A20" s="350">
        <v>7</v>
      </c>
      <c r="B20" s="351" t="s">
        <v>833</v>
      </c>
      <c r="C20" s="352" t="s">
        <v>40</v>
      </c>
      <c r="D20" s="352" t="s">
        <v>821</v>
      </c>
      <c r="E20" s="352" t="s">
        <v>219</v>
      </c>
      <c r="F20" s="353" t="s">
        <v>242</v>
      </c>
      <c r="G20" s="353"/>
      <c r="H20" s="354">
        <v>10394.691000000001</v>
      </c>
      <c r="I20" s="354"/>
      <c r="J20" s="354">
        <v>10394.691000000001</v>
      </c>
      <c r="K20" s="354"/>
      <c r="L20" s="354">
        <v>9000</v>
      </c>
      <c r="M20" s="354">
        <v>9000</v>
      </c>
      <c r="N20" s="354">
        <v>1288</v>
      </c>
      <c r="O20" s="354"/>
      <c r="P20" s="354">
        <v>1288</v>
      </c>
      <c r="Q20" s="354"/>
      <c r="R20" s="354">
        <v>1288</v>
      </c>
      <c r="S20" s="354"/>
      <c r="T20" s="354">
        <v>1288</v>
      </c>
      <c r="U20" s="354"/>
      <c r="V20" s="353"/>
    </row>
    <row r="21" spans="1:25" s="330" customFormat="1" ht="78.75">
      <c r="A21" s="355">
        <v>8</v>
      </c>
      <c r="B21" s="351" t="s">
        <v>237</v>
      </c>
      <c r="C21" s="352" t="s">
        <v>827</v>
      </c>
      <c r="D21" s="352" t="s">
        <v>824</v>
      </c>
      <c r="E21" s="352" t="s">
        <v>219</v>
      </c>
      <c r="F21" s="353" t="s">
        <v>238</v>
      </c>
      <c r="G21" s="353"/>
      <c r="H21" s="354">
        <v>10372.934999999999</v>
      </c>
      <c r="I21" s="354"/>
      <c r="J21" s="354">
        <v>10372.934999999999</v>
      </c>
      <c r="K21" s="354"/>
      <c r="L21" s="354">
        <v>8500</v>
      </c>
      <c r="M21" s="354">
        <v>8500</v>
      </c>
      <c r="N21" s="356">
        <v>1234</v>
      </c>
      <c r="O21" s="356"/>
      <c r="P21" s="356">
        <v>1234</v>
      </c>
      <c r="Q21" s="356"/>
      <c r="R21" s="356">
        <v>1234</v>
      </c>
      <c r="S21" s="356"/>
      <c r="T21" s="356">
        <v>1234</v>
      </c>
      <c r="U21" s="356"/>
      <c r="V21" s="353"/>
    </row>
    <row r="22" spans="1:25" s="330" customFormat="1" ht="78.75">
      <c r="A22" s="350">
        <v>9</v>
      </c>
      <c r="B22" s="351" t="s">
        <v>243</v>
      </c>
      <c r="C22" s="352" t="s">
        <v>827</v>
      </c>
      <c r="D22" s="352" t="s">
        <v>824</v>
      </c>
      <c r="E22" s="352" t="s">
        <v>219</v>
      </c>
      <c r="F22" s="353" t="s">
        <v>244</v>
      </c>
      <c r="G22" s="353"/>
      <c r="H22" s="354">
        <v>11287.361999999999</v>
      </c>
      <c r="I22" s="354"/>
      <c r="J22" s="354">
        <v>11287.361999999999</v>
      </c>
      <c r="K22" s="354"/>
      <c r="L22" s="354">
        <v>9000</v>
      </c>
      <c r="M22" s="354">
        <v>9000</v>
      </c>
      <c r="N22" s="354">
        <v>1468</v>
      </c>
      <c r="O22" s="354"/>
      <c r="P22" s="354">
        <v>1468</v>
      </c>
      <c r="Q22" s="354"/>
      <c r="R22" s="354">
        <v>1468</v>
      </c>
      <c r="S22" s="354"/>
      <c r="T22" s="354">
        <v>1468</v>
      </c>
      <c r="U22" s="354"/>
      <c r="V22" s="353"/>
    </row>
    <row r="23" spans="1:25" s="365" customFormat="1" ht="78.75">
      <c r="A23" s="355">
        <v>10</v>
      </c>
      <c r="B23" s="360" t="s">
        <v>203</v>
      </c>
      <c r="C23" s="361" t="s">
        <v>828</v>
      </c>
      <c r="D23" s="362" t="s">
        <v>821</v>
      </c>
      <c r="E23" s="361" t="s">
        <v>835</v>
      </c>
      <c r="F23" s="353" t="s">
        <v>204</v>
      </c>
      <c r="G23" s="353"/>
      <c r="H23" s="354">
        <v>10108.558000000001</v>
      </c>
      <c r="I23" s="354"/>
      <c r="J23" s="354">
        <f>10108.558-2500</f>
        <v>7608.5580000000009</v>
      </c>
      <c r="K23" s="354"/>
      <c r="L23" s="354">
        <v>8500</v>
      </c>
      <c r="M23" s="354">
        <v>6000</v>
      </c>
      <c r="N23" s="354">
        <v>1609</v>
      </c>
      <c r="O23" s="354"/>
      <c r="P23" s="354">
        <v>1609</v>
      </c>
      <c r="Q23" s="354"/>
      <c r="R23" s="354">
        <v>1609</v>
      </c>
      <c r="S23" s="354"/>
      <c r="T23" s="354">
        <v>1609</v>
      </c>
      <c r="U23" s="354"/>
      <c r="V23" s="364"/>
      <c r="X23" s="330"/>
      <c r="Y23" s="330"/>
    </row>
    <row r="24" spans="1:25" s="330" customFormat="1" ht="78.75">
      <c r="A24" s="350">
        <v>11</v>
      </c>
      <c r="B24" s="351" t="s">
        <v>258</v>
      </c>
      <c r="C24" s="352" t="s">
        <v>41</v>
      </c>
      <c r="D24" s="352" t="s">
        <v>824</v>
      </c>
      <c r="E24" s="352" t="s">
        <v>246</v>
      </c>
      <c r="F24" s="353" t="s">
        <v>259</v>
      </c>
      <c r="G24" s="353"/>
      <c r="H24" s="354">
        <v>10643</v>
      </c>
      <c r="I24" s="354"/>
      <c r="J24" s="354">
        <v>10643</v>
      </c>
      <c r="K24" s="354"/>
      <c r="L24" s="354">
        <v>6000</v>
      </c>
      <c r="M24" s="354">
        <v>6000</v>
      </c>
      <c r="N24" s="354">
        <v>3376</v>
      </c>
      <c r="O24" s="354"/>
      <c r="P24" s="354">
        <v>3376</v>
      </c>
      <c r="Q24" s="354"/>
      <c r="R24" s="354">
        <v>3376</v>
      </c>
      <c r="S24" s="354"/>
      <c r="T24" s="354">
        <v>3376</v>
      </c>
      <c r="U24" s="354"/>
      <c r="V24" s="353"/>
    </row>
    <row r="25" spans="1:25" s="330" customFormat="1" ht="78.75">
      <c r="A25" s="355">
        <v>12</v>
      </c>
      <c r="B25" s="351" t="s">
        <v>245</v>
      </c>
      <c r="C25" s="352" t="s">
        <v>836</v>
      </c>
      <c r="D25" s="352" t="s">
        <v>826</v>
      </c>
      <c r="E25" s="352" t="s">
        <v>246</v>
      </c>
      <c r="F25" s="353" t="s">
        <v>247</v>
      </c>
      <c r="G25" s="353"/>
      <c r="H25" s="354">
        <v>29319.806</v>
      </c>
      <c r="I25" s="354"/>
      <c r="J25" s="354">
        <f>29319.806-5000</f>
        <v>24319.806</v>
      </c>
      <c r="K25" s="354"/>
      <c r="L25" s="354">
        <v>22426.75</v>
      </c>
      <c r="M25" s="354">
        <v>17426.75</v>
      </c>
      <c r="N25" s="354">
        <v>4993</v>
      </c>
      <c r="O25" s="354"/>
      <c r="P25" s="354">
        <v>4993</v>
      </c>
      <c r="Q25" s="354"/>
      <c r="R25" s="354">
        <v>4993</v>
      </c>
      <c r="S25" s="354"/>
      <c r="T25" s="354">
        <v>4993</v>
      </c>
      <c r="U25" s="354"/>
      <c r="V25" s="353"/>
    </row>
    <row r="26" spans="1:25" s="330" customFormat="1" ht="78.75">
      <c r="A26" s="350">
        <v>13</v>
      </c>
      <c r="B26" s="351" t="s">
        <v>266</v>
      </c>
      <c r="C26" s="352" t="s">
        <v>827</v>
      </c>
      <c r="D26" s="352" t="s">
        <v>824</v>
      </c>
      <c r="E26" s="352" t="s">
        <v>246</v>
      </c>
      <c r="F26" s="362" t="s">
        <v>267</v>
      </c>
      <c r="G26" s="362"/>
      <c r="H26" s="354">
        <v>6015.0684000000001</v>
      </c>
      <c r="I26" s="354"/>
      <c r="J26" s="354">
        <v>6015.0684000000001</v>
      </c>
      <c r="K26" s="354"/>
      <c r="L26" s="354">
        <v>5000</v>
      </c>
      <c r="M26" s="354">
        <v>5000</v>
      </c>
      <c r="N26" s="354">
        <v>431</v>
      </c>
      <c r="O26" s="354"/>
      <c r="P26" s="354">
        <v>431</v>
      </c>
      <c r="Q26" s="354"/>
      <c r="R26" s="354">
        <v>431</v>
      </c>
      <c r="S26" s="354"/>
      <c r="T26" s="354">
        <v>431</v>
      </c>
      <c r="U26" s="354"/>
      <c r="V26" s="353"/>
    </row>
    <row r="27" spans="1:25" s="330" customFormat="1" ht="78.75">
      <c r="A27" s="355">
        <v>14</v>
      </c>
      <c r="B27" s="351" t="s">
        <v>264</v>
      </c>
      <c r="C27" s="352" t="s">
        <v>825</v>
      </c>
      <c r="D27" s="352" t="s">
        <v>824</v>
      </c>
      <c r="E27" s="352" t="s">
        <v>246</v>
      </c>
      <c r="F27" s="362" t="s">
        <v>837</v>
      </c>
      <c r="G27" s="362"/>
      <c r="H27" s="354">
        <v>6608.9780000000001</v>
      </c>
      <c r="I27" s="354"/>
      <c r="J27" s="354">
        <v>6608.9780000000001</v>
      </c>
      <c r="K27" s="354"/>
      <c r="L27" s="354">
        <v>5000</v>
      </c>
      <c r="M27" s="354">
        <v>5000</v>
      </c>
      <c r="N27" s="354">
        <v>1455</v>
      </c>
      <c r="O27" s="354"/>
      <c r="P27" s="354">
        <v>1455</v>
      </c>
      <c r="Q27" s="354"/>
      <c r="R27" s="354">
        <v>1455</v>
      </c>
      <c r="S27" s="354"/>
      <c r="T27" s="354">
        <v>1455</v>
      </c>
      <c r="U27" s="354"/>
      <c r="V27" s="353"/>
    </row>
    <row r="28" spans="1:25" s="330" customFormat="1" ht="78.75">
      <c r="A28" s="350">
        <v>15</v>
      </c>
      <c r="B28" s="351" t="s">
        <v>262</v>
      </c>
      <c r="C28" s="352" t="s">
        <v>838</v>
      </c>
      <c r="D28" s="352" t="s">
        <v>821</v>
      </c>
      <c r="E28" s="352" t="s">
        <v>246</v>
      </c>
      <c r="F28" s="362" t="s">
        <v>263</v>
      </c>
      <c r="G28" s="362"/>
      <c r="H28" s="354">
        <v>4139.3530000000001</v>
      </c>
      <c r="I28" s="354"/>
      <c r="J28" s="354">
        <v>4139.3530000000001</v>
      </c>
      <c r="K28" s="354"/>
      <c r="L28" s="354">
        <v>3500</v>
      </c>
      <c r="M28" s="354">
        <v>3500</v>
      </c>
      <c r="N28" s="354">
        <v>639</v>
      </c>
      <c r="O28" s="354"/>
      <c r="P28" s="354">
        <v>639</v>
      </c>
      <c r="Q28" s="354"/>
      <c r="R28" s="354">
        <v>639</v>
      </c>
      <c r="S28" s="354"/>
      <c r="T28" s="354">
        <v>639</v>
      </c>
      <c r="U28" s="354"/>
      <c r="V28" s="353"/>
    </row>
    <row r="29" spans="1:25" s="330" customFormat="1" ht="78.75">
      <c r="A29" s="355">
        <v>16</v>
      </c>
      <c r="B29" s="351" t="s">
        <v>268</v>
      </c>
      <c r="C29" s="352" t="s">
        <v>42</v>
      </c>
      <c r="D29" s="352" t="s">
        <v>822</v>
      </c>
      <c r="E29" s="352" t="s">
        <v>246</v>
      </c>
      <c r="F29" s="362" t="s">
        <v>269</v>
      </c>
      <c r="G29" s="362"/>
      <c r="H29" s="354">
        <v>5550</v>
      </c>
      <c r="I29" s="354"/>
      <c r="J29" s="354">
        <v>5550</v>
      </c>
      <c r="K29" s="354"/>
      <c r="L29" s="354">
        <v>4000</v>
      </c>
      <c r="M29" s="354">
        <v>4000</v>
      </c>
      <c r="N29" s="354">
        <v>1550</v>
      </c>
      <c r="O29" s="354"/>
      <c r="P29" s="354">
        <v>1550</v>
      </c>
      <c r="Q29" s="354"/>
      <c r="R29" s="354">
        <v>1550</v>
      </c>
      <c r="S29" s="354"/>
      <c r="T29" s="354">
        <v>1550</v>
      </c>
      <c r="U29" s="354"/>
      <c r="V29" s="353"/>
    </row>
    <row r="30" spans="1:25" s="330" customFormat="1" ht="63">
      <c r="A30" s="350">
        <v>17</v>
      </c>
      <c r="B30" s="351" t="s">
        <v>297</v>
      </c>
      <c r="C30" s="352" t="s">
        <v>839</v>
      </c>
      <c r="D30" s="352" t="s">
        <v>826</v>
      </c>
      <c r="E30" s="352" t="s">
        <v>246</v>
      </c>
      <c r="F30" s="353" t="s">
        <v>840</v>
      </c>
      <c r="G30" s="353"/>
      <c r="H30" s="354">
        <v>13500</v>
      </c>
      <c r="I30" s="354"/>
      <c r="J30" s="354">
        <v>13500</v>
      </c>
      <c r="K30" s="354"/>
      <c r="L30" s="354">
        <v>8500</v>
      </c>
      <c r="M30" s="354">
        <v>8500</v>
      </c>
      <c r="N30" s="354">
        <v>4837</v>
      </c>
      <c r="O30" s="354"/>
      <c r="P30" s="354">
        <v>4837</v>
      </c>
      <c r="Q30" s="354"/>
      <c r="R30" s="354">
        <v>4837</v>
      </c>
      <c r="S30" s="354"/>
      <c r="T30" s="354">
        <v>4837</v>
      </c>
      <c r="U30" s="354"/>
      <c r="V30" s="353"/>
    </row>
    <row r="31" spans="1:25" s="330" customFormat="1" ht="47.25">
      <c r="A31" s="355">
        <v>18</v>
      </c>
      <c r="B31" s="366" t="s">
        <v>272</v>
      </c>
      <c r="C31" s="361" t="s">
        <v>37</v>
      </c>
      <c r="D31" s="352" t="s">
        <v>824</v>
      </c>
      <c r="E31" s="352" t="s">
        <v>246</v>
      </c>
      <c r="F31" s="361" t="s">
        <v>841</v>
      </c>
      <c r="G31" s="361"/>
      <c r="H31" s="363">
        <v>4243.0550000000003</v>
      </c>
      <c r="I31" s="363"/>
      <c r="J31" s="363">
        <v>4243.0550000000003</v>
      </c>
      <c r="K31" s="363"/>
      <c r="L31" s="354">
        <v>4000</v>
      </c>
      <c r="M31" s="354">
        <v>4000</v>
      </c>
      <c r="N31" s="354">
        <v>42</v>
      </c>
      <c r="O31" s="354"/>
      <c r="P31" s="354">
        <v>42</v>
      </c>
      <c r="Q31" s="354"/>
      <c r="R31" s="354">
        <v>42</v>
      </c>
      <c r="S31" s="354"/>
      <c r="T31" s="354">
        <v>42</v>
      </c>
      <c r="U31" s="354"/>
      <c r="V31" s="353"/>
    </row>
    <row r="32" spans="1:25" s="330" customFormat="1" ht="47.25">
      <c r="A32" s="350">
        <v>19</v>
      </c>
      <c r="B32" s="366" t="s">
        <v>274</v>
      </c>
      <c r="C32" s="367" t="s">
        <v>817</v>
      </c>
      <c r="D32" s="352" t="s">
        <v>824</v>
      </c>
      <c r="E32" s="352" t="s">
        <v>246</v>
      </c>
      <c r="F32" s="367" t="s">
        <v>842</v>
      </c>
      <c r="G32" s="367"/>
      <c r="H32" s="363">
        <v>3815.4879999999998</v>
      </c>
      <c r="I32" s="363"/>
      <c r="J32" s="363">
        <v>3815.4879999999998</v>
      </c>
      <c r="K32" s="363"/>
      <c r="L32" s="354">
        <v>3500</v>
      </c>
      <c r="M32" s="354">
        <v>3500</v>
      </c>
      <c r="N32" s="354">
        <v>164</v>
      </c>
      <c r="O32" s="354"/>
      <c r="P32" s="354">
        <v>164</v>
      </c>
      <c r="Q32" s="354"/>
      <c r="R32" s="354">
        <v>164</v>
      </c>
      <c r="S32" s="354"/>
      <c r="T32" s="354">
        <v>164</v>
      </c>
      <c r="U32" s="354"/>
      <c r="V32" s="353"/>
    </row>
    <row r="33" spans="1:25" s="316" customFormat="1" ht="78.75">
      <c r="A33" s="307">
        <v>20</v>
      </c>
      <c r="B33" s="314" t="s">
        <v>288</v>
      </c>
      <c r="C33" s="315" t="s">
        <v>41</v>
      </c>
      <c r="D33" s="313" t="s">
        <v>823</v>
      </c>
      <c r="E33" s="310" t="s">
        <v>246</v>
      </c>
      <c r="F33" s="313" t="s">
        <v>289</v>
      </c>
      <c r="G33" s="313"/>
      <c r="H33" s="306">
        <v>5861.1379999999999</v>
      </c>
      <c r="I33" s="306"/>
      <c r="J33" s="306">
        <f>5861.138-3500</f>
        <v>2361.1379999999999</v>
      </c>
      <c r="K33" s="306"/>
      <c r="L33" s="306">
        <v>5100</v>
      </c>
      <c r="M33" s="306">
        <v>1600</v>
      </c>
      <c r="N33" s="305">
        <v>761.13799999999992</v>
      </c>
      <c r="O33" s="305"/>
      <c r="P33" s="306">
        <v>761.13799999999992</v>
      </c>
      <c r="Q33" s="305"/>
      <c r="R33" s="305">
        <v>761.13799999999992</v>
      </c>
      <c r="S33" s="305"/>
      <c r="T33" s="306">
        <v>761.13799999999992</v>
      </c>
      <c r="U33" s="305"/>
      <c r="V33" s="317"/>
      <c r="X33" s="303"/>
      <c r="Y33" s="303"/>
    </row>
    <row r="34" spans="1:25" s="302" customFormat="1" ht="31.5">
      <c r="A34" s="318" t="s">
        <v>29</v>
      </c>
      <c r="B34" s="319" t="s">
        <v>31</v>
      </c>
      <c r="C34" s="319"/>
      <c r="D34" s="319"/>
      <c r="E34" s="299"/>
      <c r="F34" s="300"/>
      <c r="G34" s="300"/>
      <c r="H34" s="301">
        <f>SUM(H35:H41)</f>
        <v>90245.214999999997</v>
      </c>
      <c r="I34" s="301">
        <f t="shared" ref="I34:U34" si="3">SUM(I35:I41)</f>
        <v>0</v>
      </c>
      <c r="J34" s="301">
        <f t="shared" si="3"/>
        <v>88745.214999999997</v>
      </c>
      <c r="K34" s="301">
        <f t="shared" si="3"/>
        <v>0</v>
      </c>
      <c r="L34" s="301">
        <f t="shared" si="3"/>
        <v>43500</v>
      </c>
      <c r="M34" s="301">
        <f t="shared" si="3"/>
        <v>42000</v>
      </c>
      <c r="N34" s="301">
        <f t="shared" si="3"/>
        <v>39350.712</v>
      </c>
      <c r="O34" s="301">
        <f t="shared" si="3"/>
        <v>0</v>
      </c>
      <c r="P34" s="301">
        <f t="shared" si="3"/>
        <v>39350.712</v>
      </c>
      <c r="Q34" s="301">
        <f t="shared" si="3"/>
        <v>0</v>
      </c>
      <c r="R34" s="301">
        <f t="shared" si="3"/>
        <v>34587.712</v>
      </c>
      <c r="S34" s="301">
        <f t="shared" si="3"/>
        <v>0</v>
      </c>
      <c r="T34" s="301">
        <f t="shared" si="3"/>
        <v>34587.712</v>
      </c>
      <c r="U34" s="301">
        <f t="shared" si="3"/>
        <v>0</v>
      </c>
      <c r="V34" s="300"/>
      <c r="X34" s="303"/>
      <c r="Y34" s="303"/>
    </row>
    <row r="35" spans="1:25" s="330" customFormat="1" ht="47.25">
      <c r="A35" s="355">
        <v>1</v>
      </c>
      <c r="B35" s="351" t="s">
        <v>278</v>
      </c>
      <c r="C35" s="352" t="s">
        <v>825</v>
      </c>
      <c r="D35" s="352" t="s">
        <v>831</v>
      </c>
      <c r="E35" s="352" t="s">
        <v>33</v>
      </c>
      <c r="F35" s="353" t="s">
        <v>844</v>
      </c>
      <c r="G35" s="353"/>
      <c r="H35" s="354">
        <v>4980.9030000000002</v>
      </c>
      <c r="I35" s="354"/>
      <c r="J35" s="354">
        <v>4980.9030000000002</v>
      </c>
      <c r="K35" s="354"/>
      <c r="L35" s="354">
        <v>3000</v>
      </c>
      <c r="M35" s="354">
        <v>3000</v>
      </c>
      <c r="N35" s="354">
        <v>1789</v>
      </c>
      <c r="O35" s="354"/>
      <c r="P35" s="354">
        <v>1789</v>
      </c>
      <c r="Q35" s="354"/>
      <c r="R35" s="354">
        <v>1789</v>
      </c>
      <c r="S35" s="354"/>
      <c r="T35" s="354">
        <v>1789</v>
      </c>
      <c r="U35" s="354"/>
      <c r="V35" s="353"/>
    </row>
    <row r="36" spans="1:25" s="330" customFormat="1" ht="47.25">
      <c r="A36" s="355">
        <v>2</v>
      </c>
      <c r="B36" s="351" t="s">
        <v>276</v>
      </c>
      <c r="C36" s="352" t="s">
        <v>834</v>
      </c>
      <c r="D36" s="352" t="s">
        <v>845</v>
      </c>
      <c r="E36" s="352" t="s">
        <v>33</v>
      </c>
      <c r="F36" s="353" t="s">
        <v>846</v>
      </c>
      <c r="G36" s="353"/>
      <c r="H36" s="354">
        <v>7136</v>
      </c>
      <c r="I36" s="354"/>
      <c r="J36" s="354">
        <v>7136</v>
      </c>
      <c r="K36" s="354"/>
      <c r="L36" s="354">
        <v>5000</v>
      </c>
      <c r="M36" s="354">
        <v>5000</v>
      </c>
      <c r="N36" s="354">
        <v>1795</v>
      </c>
      <c r="O36" s="354"/>
      <c r="P36" s="354">
        <v>1795</v>
      </c>
      <c r="Q36" s="354"/>
      <c r="R36" s="354">
        <v>1795</v>
      </c>
      <c r="S36" s="354"/>
      <c r="T36" s="354">
        <v>1795</v>
      </c>
      <c r="U36" s="354"/>
      <c r="V36" s="353"/>
    </row>
    <row r="37" spans="1:25" s="330" customFormat="1" ht="78.75">
      <c r="A37" s="355">
        <v>3</v>
      </c>
      <c r="B37" s="351" t="s">
        <v>32</v>
      </c>
      <c r="C37" s="352" t="s">
        <v>827</v>
      </c>
      <c r="D37" s="352" t="s">
        <v>847</v>
      </c>
      <c r="E37" s="352" t="s">
        <v>33</v>
      </c>
      <c r="F37" s="353" t="s">
        <v>292</v>
      </c>
      <c r="G37" s="353"/>
      <c r="H37" s="354">
        <v>43146</v>
      </c>
      <c r="I37" s="354"/>
      <c r="J37" s="354">
        <v>43146</v>
      </c>
      <c r="K37" s="354"/>
      <c r="L37" s="354">
        <v>14000</v>
      </c>
      <c r="M37" s="354">
        <v>14000</v>
      </c>
      <c r="N37" s="354">
        <v>22000</v>
      </c>
      <c r="O37" s="354"/>
      <c r="P37" s="354">
        <v>22000</v>
      </c>
      <c r="Q37" s="354"/>
      <c r="R37" s="354">
        <v>22000</v>
      </c>
      <c r="S37" s="354"/>
      <c r="T37" s="354">
        <v>22000</v>
      </c>
      <c r="U37" s="354"/>
      <c r="V37" s="353"/>
      <c r="X37" s="330" t="s">
        <v>878</v>
      </c>
    </row>
    <row r="38" spans="1:25" s="330" customFormat="1" ht="78.75">
      <c r="A38" s="355">
        <v>4</v>
      </c>
      <c r="B38" s="351" t="s">
        <v>299</v>
      </c>
      <c r="C38" s="352" t="s">
        <v>825</v>
      </c>
      <c r="D38" s="352" t="s">
        <v>822</v>
      </c>
      <c r="E38" s="352" t="s">
        <v>33</v>
      </c>
      <c r="F38" s="353" t="s">
        <v>300</v>
      </c>
      <c r="G38" s="353"/>
      <c r="H38" s="354">
        <v>14963</v>
      </c>
      <c r="I38" s="354"/>
      <c r="J38" s="354">
        <v>14963</v>
      </c>
      <c r="K38" s="354"/>
      <c r="L38" s="354">
        <v>8000</v>
      </c>
      <c r="M38" s="354">
        <v>8000</v>
      </c>
      <c r="N38" s="354">
        <v>6963</v>
      </c>
      <c r="O38" s="354"/>
      <c r="P38" s="359">
        <v>6963</v>
      </c>
      <c r="Q38" s="354"/>
      <c r="R38" s="354">
        <v>3500</v>
      </c>
      <c r="S38" s="354"/>
      <c r="T38" s="354">
        <v>3500</v>
      </c>
      <c r="U38" s="354"/>
      <c r="V38" s="353"/>
    </row>
    <row r="39" spans="1:25" s="330" customFormat="1" ht="63">
      <c r="A39" s="355">
        <v>5</v>
      </c>
      <c r="B39" s="351" t="s">
        <v>295</v>
      </c>
      <c r="C39" s="352" t="s">
        <v>44</v>
      </c>
      <c r="D39" s="352" t="s">
        <v>847</v>
      </c>
      <c r="E39" s="352" t="s">
        <v>33</v>
      </c>
      <c r="F39" s="353" t="s">
        <v>840</v>
      </c>
      <c r="G39" s="353"/>
      <c r="H39" s="354">
        <v>11788</v>
      </c>
      <c r="I39" s="354"/>
      <c r="J39" s="354">
        <f>11788-1500</f>
        <v>10288</v>
      </c>
      <c r="K39" s="354"/>
      <c r="L39" s="354">
        <v>9500</v>
      </c>
      <c r="M39" s="354">
        <v>8000</v>
      </c>
      <c r="N39" s="354">
        <v>2572.4</v>
      </c>
      <c r="O39" s="354"/>
      <c r="P39" s="354">
        <v>2572.4</v>
      </c>
      <c r="Q39" s="354"/>
      <c r="R39" s="354">
        <v>2572.4</v>
      </c>
      <c r="S39" s="354"/>
      <c r="T39" s="354">
        <v>2572.4</v>
      </c>
      <c r="U39" s="354"/>
      <c r="V39" s="353"/>
    </row>
    <row r="40" spans="1:25" s="322" customFormat="1" ht="78" customHeight="1">
      <c r="A40" s="307">
        <v>7</v>
      </c>
      <c r="B40" s="329" t="s">
        <v>332</v>
      </c>
      <c r="C40" s="315" t="s">
        <v>843</v>
      </c>
      <c r="D40" s="313" t="s">
        <v>826</v>
      </c>
      <c r="E40" s="312" t="s">
        <v>33</v>
      </c>
      <c r="F40" s="313" t="s">
        <v>333</v>
      </c>
      <c r="G40" s="313"/>
      <c r="H40" s="320">
        <v>2231.3119999999999</v>
      </c>
      <c r="I40" s="320"/>
      <c r="J40" s="320">
        <v>2231.3119999999999</v>
      </c>
      <c r="K40" s="320"/>
      <c r="L40" s="320">
        <v>2000</v>
      </c>
      <c r="M40" s="320">
        <v>2000</v>
      </c>
      <c r="N40" s="305">
        <v>231.3119999999999</v>
      </c>
      <c r="O40" s="305"/>
      <c r="P40" s="306">
        <v>231.3119999999999</v>
      </c>
      <c r="Q40" s="305"/>
      <c r="R40" s="305">
        <v>231.3119999999999</v>
      </c>
      <c r="S40" s="305"/>
      <c r="T40" s="306">
        <v>231.3119999999999</v>
      </c>
      <c r="U40" s="305"/>
      <c r="V40" s="321"/>
      <c r="X40" s="303"/>
      <c r="Y40" s="303"/>
    </row>
    <row r="41" spans="1:25" s="370" customFormat="1" ht="31.5">
      <c r="A41" s="355">
        <v>8</v>
      </c>
      <c r="B41" s="351" t="s">
        <v>848</v>
      </c>
      <c r="C41" s="351" t="s">
        <v>40</v>
      </c>
      <c r="D41" s="362" t="s">
        <v>826</v>
      </c>
      <c r="E41" s="361" t="s">
        <v>33</v>
      </c>
      <c r="F41" s="352"/>
      <c r="G41" s="352"/>
      <c r="H41" s="368">
        <v>6000</v>
      </c>
      <c r="I41" s="368"/>
      <c r="J41" s="368">
        <v>6000</v>
      </c>
      <c r="K41" s="368"/>
      <c r="L41" s="368">
        <v>2000</v>
      </c>
      <c r="M41" s="368">
        <v>2000</v>
      </c>
      <c r="N41" s="369">
        <v>4000</v>
      </c>
      <c r="O41" s="369"/>
      <c r="P41" s="369">
        <v>4000</v>
      </c>
      <c r="Q41" s="369"/>
      <c r="R41" s="369">
        <v>2700</v>
      </c>
      <c r="S41" s="369"/>
      <c r="T41" s="369">
        <v>2700</v>
      </c>
      <c r="U41" s="369"/>
      <c r="V41" s="368"/>
      <c r="X41" s="370" t="e">
        <f>+#REF!-#REF!</f>
        <v>#REF!</v>
      </c>
      <c r="Y41" s="370" t="e">
        <f>+#REF!-#REF!</f>
        <v>#REF!</v>
      </c>
    </row>
    <row r="42" spans="1:25" s="292" customFormat="1">
      <c r="A42" s="323"/>
      <c r="B42" s="1"/>
      <c r="C42" s="1"/>
      <c r="D42" s="1"/>
      <c r="E42" s="2"/>
      <c r="F42" s="2"/>
      <c r="G42" s="2"/>
      <c r="H42" s="291"/>
      <c r="I42" s="291"/>
      <c r="J42" s="291"/>
      <c r="K42" s="291"/>
      <c r="L42" s="291"/>
      <c r="M42" s="291"/>
      <c r="N42" s="358"/>
      <c r="O42" s="358"/>
      <c r="P42" s="358"/>
      <c r="Q42" s="358"/>
      <c r="R42" s="358"/>
      <c r="S42" s="358"/>
      <c r="T42" s="358"/>
      <c r="U42" s="358"/>
      <c r="V42" s="291"/>
    </row>
    <row r="43" spans="1:25" s="292" customFormat="1">
      <c r="A43" s="323"/>
      <c r="B43" s="1"/>
      <c r="C43" s="1"/>
      <c r="D43" s="1"/>
      <c r="E43" s="2"/>
      <c r="F43" s="2"/>
      <c r="G43" s="2"/>
      <c r="H43" s="520"/>
      <c r="I43" s="520"/>
      <c r="J43" s="520"/>
      <c r="K43" s="520"/>
      <c r="L43" s="520"/>
      <c r="M43" s="520"/>
      <c r="N43" s="520"/>
      <c r="O43" s="520"/>
      <c r="P43" s="520"/>
      <c r="Q43" s="520"/>
      <c r="R43" s="520"/>
      <c r="S43" s="520"/>
      <c r="T43" s="520"/>
      <c r="U43" s="520"/>
      <c r="V43" s="520"/>
    </row>
    <row r="44" spans="1:25" s="324" customFormat="1">
      <c r="A44" s="518"/>
      <c r="B44" s="518"/>
      <c r="C44" s="518"/>
      <c r="D44" s="518"/>
      <c r="E44" s="518"/>
      <c r="F44" s="518"/>
      <c r="G44" s="336"/>
      <c r="H44" s="519"/>
      <c r="I44" s="519"/>
      <c r="J44" s="519"/>
      <c r="K44" s="519"/>
      <c r="L44" s="519"/>
      <c r="M44" s="519"/>
      <c r="N44" s="519"/>
      <c r="O44" s="519"/>
      <c r="P44" s="519"/>
      <c r="Q44" s="519"/>
      <c r="R44" s="519"/>
      <c r="S44" s="519"/>
      <c r="T44" s="519"/>
      <c r="U44" s="519"/>
      <c r="V44" s="519"/>
    </row>
    <row r="45" spans="1:25" s="292" customFormat="1">
      <c r="A45" s="293"/>
      <c r="B45" s="1"/>
      <c r="C45" s="2"/>
      <c r="D45" s="2"/>
      <c r="E45" s="2"/>
      <c r="F45" s="2"/>
      <c r="G45" s="2"/>
      <c r="H45" s="291"/>
      <c r="I45" s="291"/>
      <c r="J45" s="291"/>
      <c r="K45" s="291"/>
      <c r="L45" s="291"/>
      <c r="M45" s="291"/>
      <c r="N45" s="358"/>
      <c r="O45" s="358"/>
      <c r="P45" s="358"/>
      <c r="Q45" s="358"/>
      <c r="R45" s="358"/>
      <c r="S45" s="358"/>
      <c r="T45" s="358"/>
      <c r="U45" s="358"/>
      <c r="V45" s="291"/>
    </row>
    <row r="46" spans="1:25" s="292" customFormat="1">
      <c r="A46" s="293"/>
      <c r="B46" s="1"/>
      <c r="C46" s="2"/>
      <c r="D46" s="2"/>
      <c r="E46" s="2"/>
      <c r="F46" s="2"/>
      <c r="G46" s="2"/>
      <c r="H46" s="291"/>
      <c r="I46" s="291"/>
      <c r="J46" s="291"/>
      <c r="K46" s="291"/>
      <c r="L46" s="291"/>
      <c r="M46" s="291"/>
      <c r="N46" s="358"/>
      <c r="O46" s="358"/>
      <c r="P46" s="358"/>
      <c r="Q46" s="358"/>
      <c r="R46" s="358"/>
      <c r="S46" s="358"/>
      <c r="T46" s="358"/>
      <c r="U46" s="358"/>
      <c r="V46" s="291"/>
    </row>
    <row r="47" spans="1:25" s="292" customFormat="1">
      <c r="A47" s="293"/>
      <c r="B47" s="1"/>
      <c r="C47" s="2"/>
      <c r="D47" s="2"/>
      <c r="E47" s="2"/>
      <c r="F47" s="2"/>
      <c r="G47" s="2"/>
      <c r="H47" s="291"/>
      <c r="I47" s="291"/>
      <c r="J47" s="291"/>
      <c r="K47" s="291"/>
      <c r="L47" s="291"/>
      <c r="M47" s="291"/>
      <c r="N47" s="358"/>
      <c r="O47" s="358"/>
      <c r="P47" s="358"/>
      <c r="Q47" s="358"/>
      <c r="R47" s="358"/>
      <c r="S47" s="358"/>
      <c r="T47" s="358"/>
      <c r="U47" s="358"/>
      <c r="V47" s="291"/>
    </row>
    <row r="48" spans="1:25" s="292" customFormat="1">
      <c r="A48" s="293"/>
      <c r="B48" s="1"/>
      <c r="C48" s="2"/>
      <c r="D48" s="2"/>
      <c r="E48" s="2"/>
      <c r="F48" s="2"/>
      <c r="G48" s="2"/>
      <c r="H48" s="291"/>
      <c r="I48" s="291"/>
      <c r="J48" s="291"/>
      <c r="K48" s="291"/>
      <c r="L48" s="291"/>
      <c r="M48" s="291"/>
      <c r="N48" s="358"/>
      <c r="O48" s="358"/>
      <c r="P48" s="358"/>
      <c r="Q48" s="358"/>
      <c r="R48" s="358"/>
      <c r="S48" s="358"/>
      <c r="T48" s="358"/>
      <c r="U48" s="358"/>
      <c r="V48" s="291"/>
    </row>
    <row r="49" spans="1:22" s="292" customFormat="1">
      <c r="A49" s="293"/>
      <c r="B49" s="1"/>
      <c r="C49" s="2"/>
      <c r="D49" s="2"/>
      <c r="E49" s="2"/>
      <c r="F49" s="2"/>
      <c r="G49" s="2"/>
      <c r="H49" s="291"/>
      <c r="I49" s="291"/>
      <c r="J49" s="291"/>
      <c r="K49" s="291"/>
      <c r="L49" s="291"/>
      <c r="M49" s="291"/>
      <c r="N49" s="358"/>
      <c r="O49" s="358"/>
      <c r="P49" s="358"/>
      <c r="Q49" s="358"/>
      <c r="R49" s="358"/>
      <c r="S49" s="358"/>
      <c r="T49" s="358"/>
      <c r="U49" s="358"/>
      <c r="V49" s="291"/>
    </row>
    <row r="50" spans="1:22" s="324" customFormat="1" ht="28.5" customHeight="1">
      <c r="A50" s="518"/>
      <c r="B50" s="518"/>
      <c r="C50" s="518"/>
      <c r="D50" s="518"/>
      <c r="E50" s="518"/>
      <c r="F50" s="518"/>
      <c r="G50" s="336"/>
      <c r="H50" s="519"/>
      <c r="I50" s="519"/>
      <c r="J50" s="519"/>
      <c r="K50" s="519"/>
      <c r="L50" s="519"/>
      <c r="M50" s="519"/>
      <c r="N50" s="519"/>
      <c r="O50" s="519"/>
      <c r="P50" s="519"/>
      <c r="Q50" s="519"/>
      <c r="R50" s="519"/>
      <c r="S50" s="519"/>
      <c r="T50" s="519"/>
      <c r="U50" s="519"/>
      <c r="V50" s="519"/>
    </row>
    <row r="51" spans="1:22" s="292" customFormat="1">
      <c r="A51" s="293"/>
      <c r="B51" s="1"/>
      <c r="C51" s="2"/>
      <c r="D51" s="2"/>
      <c r="E51" s="2"/>
      <c r="F51" s="2"/>
      <c r="G51" s="2"/>
      <c r="H51" s="291"/>
      <c r="I51" s="291"/>
      <c r="J51" s="291"/>
      <c r="K51" s="291"/>
      <c r="L51" s="291"/>
      <c r="M51" s="291"/>
      <c r="N51" s="358"/>
      <c r="O51" s="358"/>
      <c r="P51" s="358"/>
      <c r="Q51" s="358"/>
      <c r="R51" s="358"/>
      <c r="S51" s="358"/>
      <c r="T51" s="358"/>
      <c r="U51" s="358"/>
      <c r="V51" s="291"/>
    </row>
    <row r="52" spans="1:22" s="292" customFormat="1">
      <c r="A52" s="293"/>
      <c r="B52" s="1"/>
      <c r="C52" s="2"/>
      <c r="D52" s="2"/>
      <c r="E52" s="2"/>
      <c r="F52" s="2"/>
      <c r="G52" s="2"/>
      <c r="H52" s="291"/>
      <c r="I52" s="291"/>
      <c r="J52" s="291"/>
      <c r="K52" s="291"/>
      <c r="L52" s="291"/>
      <c r="M52" s="291"/>
      <c r="N52" s="358"/>
      <c r="O52" s="358"/>
      <c r="P52" s="358"/>
      <c r="Q52" s="358"/>
      <c r="R52" s="358"/>
      <c r="S52" s="358"/>
      <c r="T52" s="358"/>
      <c r="U52" s="358"/>
      <c r="V52" s="291"/>
    </row>
    <row r="53" spans="1:22" s="292" customFormat="1">
      <c r="A53" s="323"/>
      <c r="B53" s="1"/>
      <c r="C53" s="1"/>
      <c r="D53" s="1"/>
      <c r="E53" s="2"/>
      <c r="F53" s="2"/>
      <c r="G53" s="2"/>
      <c r="H53" s="291"/>
      <c r="I53" s="291"/>
      <c r="J53" s="291"/>
      <c r="K53" s="291"/>
      <c r="L53" s="291"/>
      <c r="M53" s="291"/>
      <c r="N53" s="358"/>
      <c r="O53" s="358"/>
      <c r="P53" s="358"/>
      <c r="Q53" s="358"/>
      <c r="R53" s="358"/>
      <c r="S53" s="358"/>
      <c r="T53" s="358"/>
      <c r="U53" s="358"/>
      <c r="V53" s="291"/>
    </row>
    <row r="54" spans="1:22" s="292" customFormat="1">
      <c r="A54" s="323"/>
      <c r="B54" s="1"/>
      <c r="C54" s="1"/>
      <c r="D54" s="1"/>
      <c r="E54" s="2"/>
      <c r="F54" s="2"/>
      <c r="G54" s="2"/>
      <c r="H54" s="291"/>
      <c r="I54" s="291"/>
      <c r="J54" s="291"/>
      <c r="K54" s="291"/>
      <c r="L54" s="291"/>
      <c r="M54" s="291"/>
      <c r="N54" s="358"/>
      <c r="O54" s="358"/>
      <c r="P54" s="358"/>
      <c r="Q54" s="358"/>
      <c r="R54" s="358"/>
      <c r="S54" s="358"/>
      <c r="T54" s="358"/>
      <c r="U54" s="358"/>
      <c r="V54" s="291"/>
    </row>
    <row r="55" spans="1:22" s="292" customFormat="1">
      <c r="A55" s="323"/>
      <c r="B55" s="1"/>
      <c r="C55" s="1"/>
      <c r="D55" s="1"/>
      <c r="E55" s="2"/>
      <c r="F55" s="2"/>
      <c r="G55" s="2"/>
      <c r="H55" s="291"/>
      <c r="I55" s="291"/>
      <c r="J55" s="291"/>
      <c r="K55" s="291"/>
      <c r="L55" s="291"/>
      <c r="M55" s="291"/>
      <c r="N55" s="358"/>
      <c r="O55" s="358"/>
      <c r="P55" s="358"/>
      <c r="Q55" s="358"/>
      <c r="R55" s="358"/>
      <c r="S55" s="358"/>
      <c r="T55" s="358"/>
      <c r="U55" s="358"/>
      <c r="V55" s="291"/>
    </row>
  </sheetData>
  <mergeCells count="38">
    <mergeCell ref="S9:S10"/>
    <mergeCell ref="S8:U8"/>
    <mergeCell ref="U9:U10"/>
    <mergeCell ref="D7:D10"/>
    <mergeCell ref="E7:E10"/>
    <mergeCell ref="F7:K7"/>
    <mergeCell ref="A50:F50"/>
    <mergeCell ref="H50:V50"/>
    <mergeCell ref="O9:O10"/>
    <mergeCell ref="L9:L10"/>
    <mergeCell ref="M9:M10"/>
    <mergeCell ref="P9:P10"/>
    <mergeCell ref="N8:N10"/>
    <mergeCell ref="R8:R10"/>
    <mergeCell ref="H9:H10"/>
    <mergeCell ref="K9:K10"/>
    <mergeCell ref="H43:V43"/>
    <mergeCell ref="J9:J10"/>
    <mergeCell ref="A44:F44"/>
    <mergeCell ref="H44:V44"/>
    <mergeCell ref="V7:V10"/>
    <mergeCell ref="H8:K8"/>
    <mergeCell ref="A1:B1"/>
    <mergeCell ref="A2:B2"/>
    <mergeCell ref="T9:T10"/>
    <mergeCell ref="L7:M8"/>
    <mergeCell ref="N7:Q7"/>
    <mergeCell ref="R7:U7"/>
    <mergeCell ref="F8:F10"/>
    <mergeCell ref="A4:V4"/>
    <mergeCell ref="A5:V5"/>
    <mergeCell ref="A6:V6"/>
    <mergeCell ref="A7:A10"/>
    <mergeCell ref="B7:B10"/>
    <mergeCell ref="C7:C10"/>
    <mergeCell ref="I9:I10"/>
    <mergeCell ref="O8:Q8"/>
    <mergeCell ref="Q9:Q10"/>
  </mergeCells>
  <pageMargins left="0.46" right="0.2" top="0.25" bottom="0.25" header="0.3" footer="0.3"/>
  <pageSetup paperSize="9" scale="49" orientation="landscape" r:id="rId1"/>
  <ignoredErrors>
    <ignoredError sqref="H34" formula="1"/>
    <ignoredError sqref="E15:E18"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3:F9"/>
  <sheetViews>
    <sheetView zoomScale="115" zoomScaleNormal="115" zoomScaleSheetLayoutView="115" workbookViewId="0">
      <selection activeCell="C6" sqref="C6"/>
    </sheetView>
  </sheetViews>
  <sheetFormatPr defaultColWidth="9" defaultRowHeight="16.5"/>
  <cols>
    <col min="1" max="1" width="4.140625" style="417" customWidth="1"/>
    <col min="2" max="2" width="49.42578125" style="407" customWidth="1"/>
    <col min="3" max="3" width="16.85546875" style="407" customWidth="1"/>
    <col min="4" max="5" width="9" style="407"/>
    <col min="6" max="6" width="12.5703125" style="407" bestFit="1" customWidth="1"/>
    <col min="7" max="16384" width="9" style="407"/>
  </cols>
  <sheetData>
    <row r="3" spans="1:6">
      <c r="A3" s="521" t="s">
        <v>1014</v>
      </c>
      <c r="B3" s="521"/>
      <c r="C3" s="521"/>
      <c r="D3" s="521"/>
    </row>
    <row r="4" spans="1:6">
      <c r="A4" s="406"/>
      <c r="B4" s="408"/>
      <c r="C4" s="408"/>
    </row>
    <row r="5" spans="1:6" ht="33">
      <c r="A5" s="409" t="s">
        <v>817</v>
      </c>
      <c r="B5" s="409" t="s">
        <v>987</v>
      </c>
      <c r="C5" s="410" t="s">
        <v>1013</v>
      </c>
      <c r="D5" s="409" t="s">
        <v>109</v>
      </c>
    </row>
    <row r="6" spans="1:6" s="408" customFormat="1">
      <c r="A6" s="411"/>
      <c r="B6" s="412" t="s">
        <v>18</v>
      </c>
      <c r="C6" s="413" t="e">
        <f>+C7+C8</f>
        <v>#REF!</v>
      </c>
      <c r="D6" s="412"/>
      <c r="F6" s="477">
        <v>567886.4</v>
      </c>
    </row>
    <row r="7" spans="1:6">
      <c r="A7" s="414">
        <v>1</v>
      </c>
      <c r="B7" s="415" t="s">
        <v>989</v>
      </c>
      <c r="C7" s="416">
        <f>+'Phụ lục 1'!P12</f>
        <v>74491</v>
      </c>
      <c r="D7" s="415"/>
    </row>
    <row r="8" spans="1:6">
      <c r="A8" s="414">
        <v>2</v>
      </c>
      <c r="B8" s="415" t="s">
        <v>988</v>
      </c>
      <c r="C8" s="416" t="e">
        <f>+#REF!</f>
        <v>#REF!</v>
      </c>
      <c r="D8" s="415"/>
    </row>
    <row r="9" spans="1:6">
      <c r="F9" s="418" t="e">
        <f>+F6-C6</f>
        <v>#REF!</v>
      </c>
    </row>
  </sheetData>
  <mergeCells count="1">
    <mergeCell ref="A3:D3"/>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0000"/>
  </sheetPr>
  <dimension ref="A1:V271"/>
  <sheetViews>
    <sheetView tabSelected="1" view="pageBreakPreview" zoomScale="70" zoomScaleNormal="55" zoomScaleSheetLayoutView="70" zoomScalePageLayoutView="55" workbookViewId="0">
      <selection activeCell="H14" sqref="H14"/>
    </sheetView>
  </sheetViews>
  <sheetFormatPr defaultColWidth="9.140625" defaultRowHeight="18.75"/>
  <cols>
    <col min="1" max="1" width="5.140625" style="347" customWidth="1"/>
    <col min="2" max="2" width="39.5703125" style="20" customWidth="1"/>
    <col min="3" max="3" width="12" style="20" hidden="1" customWidth="1"/>
    <col min="4" max="4" width="13" style="21" customWidth="1"/>
    <col min="5" max="5" width="10.42578125" style="21" hidden="1" customWidth="1"/>
    <col min="6" max="6" width="9.42578125" style="21" customWidth="1"/>
    <col min="7" max="7" width="19.42578125" style="21" customWidth="1"/>
    <col min="8" max="8" width="11.85546875" style="67" customWidth="1"/>
    <col min="9" max="9" width="13.140625" style="67" customWidth="1"/>
    <col min="10" max="10" width="9.42578125" style="67" hidden="1" customWidth="1"/>
    <col min="11" max="11" width="11" style="67" customWidth="1"/>
    <col min="12" max="12" width="10.85546875" style="67" customWidth="1"/>
    <col min="13" max="13" width="10.85546875" style="67" hidden="1" customWidth="1"/>
    <col min="14" max="14" width="11.42578125" style="348" customWidth="1"/>
    <col min="15" max="15" width="11.5703125" style="348" customWidth="1"/>
    <col min="16" max="16" width="10" style="348" customWidth="1"/>
    <col min="17" max="18" width="10" style="348" hidden="1" customWidth="1"/>
    <col min="19" max="19" width="14.85546875" style="400" customWidth="1"/>
    <col min="20" max="20" width="11.140625" style="20" customWidth="1"/>
    <col min="21" max="21" width="12.140625" style="20" bestFit="1" customWidth="1"/>
    <col min="22" max="22" width="19.140625" style="20" customWidth="1"/>
    <col min="23" max="16384" width="9.140625" style="20"/>
  </cols>
  <sheetData>
    <row r="1" spans="1:22">
      <c r="A1" s="524" t="s">
        <v>1035</v>
      </c>
      <c r="B1" s="524"/>
    </row>
    <row r="2" spans="1:22">
      <c r="A2" s="525" t="s">
        <v>339</v>
      </c>
      <c r="B2" s="524"/>
    </row>
    <row r="4" spans="1:22" ht="19.5">
      <c r="A4" s="526" t="s">
        <v>1036</v>
      </c>
      <c r="B4" s="526"/>
      <c r="C4" s="526"/>
      <c r="D4" s="526"/>
      <c r="E4" s="526"/>
      <c r="F4" s="526"/>
      <c r="G4" s="526"/>
      <c r="H4" s="526"/>
      <c r="I4" s="526"/>
      <c r="J4" s="526"/>
      <c r="K4" s="526"/>
      <c r="L4" s="526"/>
      <c r="M4" s="526"/>
      <c r="N4" s="526"/>
      <c r="O4" s="526"/>
      <c r="P4" s="526"/>
      <c r="Q4" s="526"/>
      <c r="R4" s="526"/>
      <c r="S4" s="526"/>
    </row>
    <row r="5" spans="1:22" ht="19.5">
      <c r="A5" s="527" t="s">
        <v>1037</v>
      </c>
      <c r="B5" s="527"/>
      <c r="C5" s="527"/>
      <c r="D5" s="527"/>
      <c r="E5" s="527"/>
      <c r="F5" s="527"/>
      <c r="G5" s="527"/>
      <c r="H5" s="527"/>
      <c r="I5" s="527"/>
      <c r="J5" s="527"/>
      <c r="K5" s="527"/>
      <c r="L5" s="527"/>
      <c r="M5" s="527"/>
      <c r="N5" s="527"/>
      <c r="O5" s="527"/>
      <c r="P5" s="527"/>
      <c r="Q5" s="527"/>
      <c r="R5" s="527"/>
      <c r="S5" s="527"/>
    </row>
    <row r="6" spans="1:22" ht="35.450000000000003" customHeight="1">
      <c r="A6" s="528" t="s">
        <v>0</v>
      </c>
      <c r="B6" s="528"/>
      <c r="C6" s="528"/>
      <c r="D6" s="528"/>
      <c r="E6" s="528"/>
      <c r="F6" s="528"/>
      <c r="G6" s="528"/>
      <c r="H6" s="528"/>
      <c r="I6" s="528"/>
      <c r="J6" s="528"/>
      <c r="K6" s="528"/>
      <c r="L6" s="528"/>
      <c r="M6" s="528"/>
      <c r="N6" s="528"/>
      <c r="O6" s="528"/>
      <c r="P6" s="528"/>
      <c r="Q6" s="528"/>
      <c r="R6" s="528"/>
      <c r="S6" s="528"/>
    </row>
    <row r="7" spans="1:22" s="371" customFormat="1" ht="27.75" customHeight="1">
      <c r="A7" s="529" t="s">
        <v>817</v>
      </c>
      <c r="B7" s="522" t="s">
        <v>2</v>
      </c>
      <c r="C7" s="522" t="s">
        <v>858</v>
      </c>
      <c r="D7" s="522" t="s">
        <v>859</v>
      </c>
      <c r="E7" s="522" t="s">
        <v>818</v>
      </c>
      <c r="F7" s="522" t="s">
        <v>974</v>
      </c>
      <c r="G7" s="522" t="s">
        <v>6</v>
      </c>
      <c r="H7" s="522"/>
      <c r="I7" s="522"/>
      <c r="J7" s="522" t="s">
        <v>991</v>
      </c>
      <c r="K7" s="522" t="s">
        <v>860</v>
      </c>
      <c r="L7" s="522"/>
      <c r="M7" s="522" t="s">
        <v>984</v>
      </c>
      <c r="N7" s="530" t="s">
        <v>982</v>
      </c>
      <c r="O7" s="533"/>
      <c r="P7" s="533"/>
      <c r="Q7" s="537" t="s">
        <v>992</v>
      </c>
      <c r="R7" s="534" t="s">
        <v>986</v>
      </c>
      <c r="S7" s="530" t="s">
        <v>109</v>
      </c>
      <c r="V7" s="372"/>
    </row>
    <row r="8" spans="1:22" s="371" customFormat="1" ht="15">
      <c r="A8" s="529"/>
      <c r="B8" s="522"/>
      <c r="C8" s="522"/>
      <c r="D8" s="522"/>
      <c r="E8" s="522"/>
      <c r="F8" s="522"/>
      <c r="G8" s="522" t="s">
        <v>861</v>
      </c>
      <c r="H8" s="522" t="s">
        <v>12</v>
      </c>
      <c r="I8" s="522"/>
      <c r="J8" s="522"/>
      <c r="K8" s="522"/>
      <c r="L8" s="522"/>
      <c r="M8" s="522"/>
      <c r="N8" s="533"/>
      <c r="O8" s="533"/>
      <c r="P8" s="533"/>
      <c r="Q8" s="537"/>
      <c r="R8" s="535"/>
      <c r="S8" s="530"/>
      <c r="V8" s="372"/>
    </row>
    <row r="9" spans="1:22" s="371" customFormat="1" ht="15" customHeight="1">
      <c r="A9" s="529"/>
      <c r="B9" s="522"/>
      <c r="C9" s="522"/>
      <c r="D9" s="522"/>
      <c r="E9" s="522"/>
      <c r="F9" s="522"/>
      <c r="G9" s="522"/>
      <c r="H9" s="522" t="s">
        <v>13</v>
      </c>
      <c r="I9" s="522" t="s">
        <v>877</v>
      </c>
      <c r="J9" s="522"/>
      <c r="K9" s="522" t="s">
        <v>13</v>
      </c>
      <c r="L9" s="522" t="s">
        <v>877</v>
      </c>
      <c r="M9" s="522"/>
      <c r="N9" s="530" t="s">
        <v>13</v>
      </c>
      <c r="O9" s="530" t="s">
        <v>929</v>
      </c>
      <c r="P9" s="530"/>
      <c r="Q9" s="537"/>
      <c r="R9" s="535"/>
      <c r="S9" s="530"/>
      <c r="V9" s="372"/>
    </row>
    <row r="10" spans="1:22" s="371" customFormat="1" ht="30.75" customHeight="1">
      <c r="A10" s="529"/>
      <c r="B10" s="522"/>
      <c r="C10" s="522"/>
      <c r="D10" s="522"/>
      <c r="E10" s="522"/>
      <c r="F10" s="522"/>
      <c r="G10" s="522"/>
      <c r="H10" s="522"/>
      <c r="I10" s="522"/>
      <c r="J10" s="522"/>
      <c r="K10" s="522"/>
      <c r="L10" s="522"/>
      <c r="M10" s="522"/>
      <c r="N10" s="530"/>
      <c r="O10" s="530" t="s">
        <v>877</v>
      </c>
      <c r="P10" s="532" t="s">
        <v>874</v>
      </c>
      <c r="Q10" s="537"/>
      <c r="R10" s="535"/>
      <c r="S10" s="530"/>
      <c r="V10" s="372"/>
    </row>
    <row r="11" spans="1:22" s="371" customFormat="1" ht="36" customHeight="1">
      <c r="A11" s="529"/>
      <c r="B11" s="522"/>
      <c r="C11" s="522"/>
      <c r="D11" s="522"/>
      <c r="E11" s="522"/>
      <c r="F11" s="522"/>
      <c r="G11" s="522"/>
      <c r="H11" s="523"/>
      <c r="I11" s="522"/>
      <c r="J11" s="522"/>
      <c r="K11" s="523"/>
      <c r="L11" s="522"/>
      <c r="M11" s="522"/>
      <c r="N11" s="530"/>
      <c r="O11" s="530"/>
      <c r="P11" s="532"/>
      <c r="Q11" s="537"/>
      <c r="R11" s="536"/>
      <c r="S11" s="530"/>
      <c r="V11" s="372"/>
    </row>
    <row r="12" spans="1:22" s="11" customFormat="1">
      <c r="A12" s="349"/>
      <c r="B12" s="8" t="s">
        <v>18</v>
      </c>
      <c r="C12" s="338"/>
      <c r="D12" s="9"/>
      <c r="E12" s="9"/>
      <c r="F12" s="9"/>
      <c r="G12" s="9"/>
      <c r="H12" s="10">
        <f t="shared" ref="H12:P12" si="0">H13+H18+H24</f>
        <v>489924.99699999997</v>
      </c>
      <c r="I12" s="10">
        <f t="shared" si="0"/>
        <v>394821.05300000001</v>
      </c>
      <c r="J12" s="10">
        <f t="shared" ref="J12" si="1">J13+J18+J24</f>
        <v>501626.86699999997</v>
      </c>
      <c r="K12" s="10">
        <f t="shared" si="0"/>
        <v>281668.59617899999</v>
      </c>
      <c r="L12" s="10">
        <f t="shared" si="0"/>
        <v>20246.717000000001</v>
      </c>
      <c r="M12" s="10">
        <f t="shared" si="0"/>
        <v>361142.25117900001</v>
      </c>
      <c r="N12" s="10">
        <f t="shared" si="0"/>
        <v>194883.63699999999</v>
      </c>
      <c r="O12" s="10">
        <f t="shared" si="0"/>
        <v>120392.637</v>
      </c>
      <c r="P12" s="10">
        <f t="shared" si="0"/>
        <v>74491</v>
      </c>
      <c r="Q12" s="10">
        <f t="shared" ref="Q12" si="2">Q13+Q18+Q24</f>
        <v>57658.442000000003</v>
      </c>
      <c r="R12" s="10" t="e">
        <f t="shared" ref="R12" si="3">R13+R18+R24</f>
        <v>#REF!</v>
      </c>
      <c r="S12" s="401"/>
    </row>
    <row r="13" spans="1:22" s="6" customFormat="1" ht="56.25">
      <c r="A13" s="66" t="s">
        <v>19</v>
      </c>
      <c r="B13" s="8" t="s">
        <v>876</v>
      </c>
      <c r="C13" s="379"/>
      <c r="D13" s="338"/>
      <c r="E13" s="338"/>
      <c r="F13" s="338"/>
      <c r="G13" s="338"/>
      <c r="H13" s="10">
        <f t="shared" ref="H13:P13" si="4">SUM(H14:H17)</f>
        <v>11979.137999999999</v>
      </c>
      <c r="I13" s="10">
        <f t="shared" si="4"/>
        <v>8800</v>
      </c>
      <c r="J13" s="10">
        <f t="shared" ref="J13" si="5">SUM(J14:J17)</f>
        <v>11979.137999999999</v>
      </c>
      <c r="K13" s="10">
        <f t="shared" si="4"/>
        <v>5100</v>
      </c>
      <c r="L13" s="10">
        <f t="shared" si="4"/>
        <v>3500</v>
      </c>
      <c r="M13" s="10">
        <f t="shared" si="4"/>
        <v>11181.07</v>
      </c>
      <c r="N13" s="10">
        <f t="shared" si="4"/>
        <v>6080</v>
      </c>
      <c r="O13" s="10">
        <f t="shared" si="4"/>
        <v>5300</v>
      </c>
      <c r="P13" s="10">
        <f t="shared" si="4"/>
        <v>780</v>
      </c>
      <c r="Q13" s="10">
        <f t="shared" ref="Q13" si="6">SUM(Q14:Q17)</f>
        <v>780</v>
      </c>
      <c r="R13" s="10" t="e">
        <f t="shared" ref="R13" si="7">SUM(R14:R17)</f>
        <v>#REF!</v>
      </c>
      <c r="S13" s="380"/>
      <c r="V13" s="11"/>
    </row>
    <row r="14" spans="1:22" s="343" customFormat="1" ht="75">
      <c r="A14" s="18">
        <v>1</v>
      </c>
      <c r="B14" s="14" t="s">
        <v>906</v>
      </c>
      <c r="C14" s="18"/>
      <c r="D14" s="13" t="s">
        <v>52</v>
      </c>
      <c r="E14" s="342" t="s">
        <v>872</v>
      </c>
      <c r="F14" s="13">
        <v>2021</v>
      </c>
      <c r="G14" s="382" t="s">
        <v>907</v>
      </c>
      <c r="H14" s="381">
        <v>2500</v>
      </c>
      <c r="I14" s="341">
        <v>2000</v>
      </c>
      <c r="J14" s="381">
        <v>2500</v>
      </c>
      <c r="K14" s="342"/>
      <c r="L14" s="341"/>
      <c r="M14" s="341">
        <v>2312</v>
      </c>
      <c r="N14" s="381">
        <v>2312</v>
      </c>
      <c r="O14" s="341">
        <v>2000</v>
      </c>
      <c r="P14" s="16">
        <v>312</v>
      </c>
      <c r="Q14" s="16">
        <v>312</v>
      </c>
      <c r="R14" s="19" t="e">
        <f>IF(M14-K14-#REF!-#REF!-#REF!&gt;0,M14-K14-#REF!-#REF!-#REF!,0)</f>
        <v>#REF!</v>
      </c>
      <c r="S14" s="402"/>
    </row>
    <row r="15" spans="1:22" s="385" customFormat="1" ht="75">
      <c r="A15" s="65" t="s">
        <v>28</v>
      </c>
      <c r="B15" s="14" t="s">
        <v>908</v>
      </c>
      <c r="C15" s="383"/>
      <c r="D15" s="13" t="s">
        <v>41</v>
      </c>
      <c r="E15" s="342" t="s">
        <v>873</v>
      </c>
      <c r="F15" s="340" t="s">
        <v>33</v>
      </c>
      <c r="G15" s="340" t="s">
        <v>909</v>
      </c>
      <c r="H15" s="15">
        <v>5861.1379999999999</v>
      </c>
      <c r="I15" s="15">
        <v>3500</v>
      </c>
      <c r="J15" s="15">
        <v>5861.1379999999999</v>
      </c>
      <c r="K15" s="341">
        <f>3500+1600</f>
        <v>5100</v>
      </c>
      <c r="L15" s="341">
        <v>3500</v>
      </c>
      <c r="M15" s="341">
        <v>5443</v>
      </c>
      <c r="N15" s="15">
        <f>5443-1600-3500</f>
        <v>343</v>
      </c>
      <c r="O15" s="341">
        <v>0</v>
      </c>
      <c r="P15" s="16">
        <v>343</v>
      </c>
      <c r="Q15" s="16">
        <v>343</v>
      </c>
      <c r="R15" s="19" t="e">
        <f>IF(M15-K15-#REF!-#REF!-#REF!&gt;0,M15-K15-#REF!-#REF!-#REF!,0)</f>
        <v>#REF!</v>
      </c>
      <c r="S15" s="384"/>
      <c r="V15" s="12"/>
    </row>
    <row r="16" spans="1:22" s="385" customFormat="1" ht="75">
      <c r="A16" s="65" t="s">
        <v>24</v>
      </c>
      <c r="B16" s="14" t="s">
        <v>936</v>
      </c>
      <c r="C16" s="383"/>
      <c r="D16" s="13" t="s">
        <v>46</v>
      </c>
      <c r="E16" s="342" t="s">
        <v>74</v>
      </c>
      <c r="F16" s="340">
        <v>2021</v>
      </c>
      <c r="G16" s="340" t="s">
        <v>937</v>
      </c>
      <c r="H16" s="15">
        <v>459</v>
      </c>
      <c r="I16" s="15">
        <v>400</v>
      </c>
      <c r="J16" s="15">
        <v>459</v>
      </c>
      <c r="K16" s="341"/>
      <c r="L16" s="341"/>
      <c r="M16" s="341">
        <v>406.14400000000001</v>
      </c>
      <c r="N16" s="15">
        <v>406</v>
      </c>
      <c r="O16" s="15">
        <v>400</v>
      </c>
      <c r="P16" s="16">
        <v>6</v>
      </c>
      <c r="Q16" s="16">
        <v>6</v>
      </c>
      <c r="R16" s="19" t="e">
        <f>IF(M16-K16-#REF!-#REF!-#REF!&gt;0,M16-K16-#REF!-#REF!-#REF!,0)</f>
        <v>#REF!</v>
      </c>
      <c r="S16" s="384"/>
      <c r="V16" s="12"/>
    </row>
    <row r="17" spans="1:21" s="377" customFormat="1" ht="75">
      <c r="A17" s="374">
        <v>4</v>
      </c>
      <c r="B17" s="375" t="s">
        <v>910</v>
      </c>
      <c r="C17" s="13"/>
      <c r="D17" s="13" t="s">
        <v>52</v>
      </c>
      <c r="E17" s="13" t="s">
        <v>74</v>
      </c>
      <c r="F17" s="340">
        <v>2021</v>
      </c>
      <c r="G17" s="376" t="s">
        <v>911</v>
      </c>
      <c r="H17" s="15">
        <v>3159</v>
      </c>
      <c r="I17" s="15">
        <v>2900</v>
      </c>
      <c r="J17" s="15">
        <v>3159</v>
      </c>
      <c r="K17" s="15"/>
      <c r="L17" s="15"/>
      <c r="M17" s="15">
        <v>3019.9259999999999</v>
      </c>
      <c r="N17" s="15">
        <f>2900+119</f>
        <v>3019</v>
      </c>
      <c r="O17" s="15">
        <v>2900</v>
      </c>
      <c r="P17" s="15">
        <v>119</v>
      </c>
      <c r="Q17" s="15">
        <v>119</v>
      </c>
      <c r="R17" s="19" t="e">
        <f>IF(M17-K17-#REF!-#REF!-#REF!&gt;0,M17-K17-#REF!-#REF!-#REF!,0)</f>
        <v>#REF!</v>
      </c>
      <c r="S17" s="376"/>
      <c r="U17" s="6"/>
    </row>
    <row r="18" spans="1:21" s="11" customFormat="1" ht="37.5">
      <c r="A18" s="349" t="s">
        <v>29</v>
      </c>
      <c r="B18" s="8" t="s">
        <v>912</v>
      </c>
      <c r="C18" s="338"/>
      <c r="D18" s="338"/>
      <c r="E18" s="9"/>
      <c r="F18" s="9"/>
      <c r="G18" s="9"/>
      <c r="H18" s="10">
        <f>SUM(H19:H23)</f>
        <v>98069.805999999997</v>
      </c>
      <c r="I18" s="10">
        <f t="shared" ref="I18:R18" si="8">SUM(I19:I23)</f>
        <v>29500</v>
      </c>
      <c r="J18" s="10">
        <f t="shared" si="8"/>
        <v>87679.805999999997</v>
      </c>
      <c r="K18" s="10">
        <f t="shared" si="8"/>
        <v>13995.135</v>
      </c>
      <c r="L18" s="10">
        <f t="shared" si="8"/>
        <v>7000</v>
      </c>
      <c r="M18" s="10">
        <f t="shared" si="8"/>
        <v>40515.135000000002</v>
      </c>
      <c r="N18" s="10">
        <f t="shared" si="8"/>
        <v>83670</v>
      </c>
      <c r="O18" s="10">
        <f t="shared" si="8"/>
        <v>22500</v>
      </c>
      <c r="P18" s="10">
        <f t="shared" si="8"/>
        <v>61170</v>
      </c>
      <c r="Q18" s="10">
        <f t="shared" si="8"/>
        <v>35008</v>
      </c>
      <c r="R18" s="10" t="e">
        <f t="shared" si="8"/>
        <v>#REF!</v>
      </c>
      <c r="S18" s="401"/>
    </row>
    <row r="19" spans="1:21" s="12" customFormat="1" ht="112.5">
      <c r="A19" s="378" t="s">
        <v>21</v>
      </c>
      <c r="B19" s="373" t="s">
        <v>913</v>
      </c>
      <c r="C19" s="340"/>
      <c r="D19" s="340" t="s">
        <v>918</v>
      </c>
      <c r="E19" s="13" t="s">
        <v>74</v>
      </c>
      <c r="F19" s="340">
        <v>2021</v>
      </c>
      <c r="G19" s="376" t="s">
        <v>914</v>
      </c>
      <c r="H19" s="15">
        <v>29440</v>
      </c>
      <c r="I19" s="15">
        <v>7000</v>
      </c>
      <c r="J19" s="15">
        <v>32272</v>
      </c>
      <c r="K19" s="15">
        <v>9000</v>
      </c>
      <c r="L19" s="15">
        <v>7000</v>
      </c>
      <c r="M19" s="15">
        <v>32272</v>
      </c>
      <c r="N19" s="15">
        <v>20440</v>
      </c>
      <c r="O19" s="15"/>
      <c r="P19" s="15">
        <v>20440</v>
      </c>
      <c r="Q19" s="15"/>
      <c r="R19" s="19" t="e">
        <f>IF(M19-K19-#REF!-#REF!-#REF!&gt;0,M19-K19-#REF!-#REF!-#REF!,0)</f>
        <v>#REF!</v>
      </c>
      <c r="S19" s="399"/>
    </row>
    <row r="20" spans="1:21" s="12" customFormat="1" ht="75">
      <c r="A20" s="378" t="s">
        <v>28</v>
      </c>
      <c r="B20" s="373" t="s">
        <v>916</v>
      </c>
      <c r="C20" s="340"/>
      <c r="D20" s="340" t="s">
        <v>917</v>
      </c>
      <c r="E20" s="13" t="s">
        <v>74</v>
      </c>
      <c r="F20" s="340">
        <v>2021</v>
      </c>
      <c r="G20" s="376" t="s">
        <v>915</v>
      </c>
      <c r="H20" s="15">
        <v>8000</v>
      </c>
      <c r="I20" s="15">
        <v>4000</v>
      </c>
      <c r="J20" s="15">
        <v>0</v>
      </c>
      <c r="K20" s="15"/>
      <c r="L20" s="15"/>
      <c r="M20" s="15">
        <v>0</v>
      </c>
      <c r="N20" s="15">
        <f>+H20</f>
        <v>8000</v>
      </c>
      <c r="O20" s="15">
        <v>4000</v>
      </c>
      <c r="P20" s="15">
        <v>4000</v>
      </c>
      <c r="Q20" s="15">
        <v>0</v>
      </c>
      <c r="R20" s="19" t="e">
        <f>IF(M20-K20-#REF!-#REF!-#REF!&gt;0,M20-K20-#REF!-#REF!-#REF!,0)</f>
        <v>#REF!</v>
      </c>
      <c r="S20" s="399"/>
    </row>
    <row r="21" spans="1:21" s="12" customFormat="1" ht="56.25">
      <c r="A21" s="378" t="s">
        <v>24</v>
      </c>
      <c r="B21" s="373" t="s">
        <v>919</v>
      </c>
      <c r="C21" s="340"/>
      <c r="D21" s="376" t="s">
        <v>35</v>
      </c>
      <c r="E21" s="376" t="s">
        <v>48</v>
      </c>
      <c r="F21" s="376">
        <v>2021</v>
      </c>
      <c r="G21" s="376" t="s">
        <v>920</v>
      </c>
      <c r="H21" s="15">
        <v>48222</v>
      </c>
      <c r="I21" s="15">
        <v>15000</v>
      </c>
      <c r="J21" s="15">
        <v>50000</v>
      </c>
      <c r="K21" s="15"/>
      <c r="L21" s="15"/>
      <c r="M21" s="15">
        <v>3248</v>
      </c>
      <c r="N21" s="15">
        <v>48222</v>
      </c>
      <c r="O21" s="15">
        <v>15000</v>
      </c>
      <c r="P21" s="15">
        <v>33222</v>
      </c>
      <c r="Q21" s="15">
        <f>+J21-O21</f>
        <v>35000</v>
      </c>
      <c r="R21" s="19" t="e">
        <f>IF(M21-K21-#REF!-#REF!-#REF!&gt;0,M21-K21-#REF!-#REF!-#REF!,0)</f>
        <v>#REF!</v>
      </c>
      <c r="S21" s="399"/>
    </row>
    <row r="22" spans="1:21" s="12" customFormat="1" ht="75">
      <c r="A22" s="378" t="s">
        <v>25</v>
      </c>
      <c r="B22" s="373" t="s">
        <v>205</v>
      </c>
      <c r="C22" s="340"/>
      <c r="D22" s="376"/>
      <c r="E22" s="376"/>
      <c r="F22" s="376"/>
      <c r="G22" s="376" t="s">
        <v>207</v>
      </c>
      <c r="H22" s="15">
        <v>5407.8059999999996</v>
      </c>
      <c r="I22" s="15"/>
      <c r="J22" s="15">
        <v>5407.8059999999996</v>
      </c>
      <c r="K22" s="15">
        <v>4995.1350000000002</v>
      </c>
      <c r="L22" s="15"/>
      <c r="M22" s="15">
        <v>4995.1350000000002</v>
      </c>
      <c r="N22" s="15">
        <f>+O22+P22</f>
        <v>8</v>
      </c>
      <c r="O22" s="15"/>
      <c r="P22" s="15">
        <v>8</v>
      </c>
      <c r="Q22" s="15">
        <v>8</v>
      </c>
      <c r="R22" s="19" t="e">
        <f>IF(M22-K22-#REF!-#REF!-#REF!&gt;0,M22-K22-#REF!-#REF!-#REF!,0)</f>
        <v>#REF!</v>
      </c>
      <c r="S22" s="399"/>
    </row>
    <row r="23" spans="1:21" s="12" customFormat="1" ht="56.25">
      <c r="A23" s="378" t="s">
        <v>26</v>
      </c>
      <c r="B23" s="373" t="s">
        <v>922</v>
      </c>
      <c r="C23" s="340"/>
      <c r="D23" s="376" t="s">
        <v>903</v>
      </c>
      <c r="E23" s="376" t="s">
        <v>74</v>
      </c>
      <c r="F23" s="376">
        <v>2021</v>
      </c>
      <c r="G23" s="376" t="s">
        <v>923</v>
      </c>
      <c r="H23" s="15">
        <v>7000</v>
      </c>
      <c r="I23" s="15">
        <v>3500</v>
      </c>
      <c r="J23" s="15">
        <v>0</v>
      </c>
      <c r="K23" s="15"/>
      <c r="L23" s="15"/>
      <c r="M23" s="15">
        <v>0</v>
      </c>
      <c r="N23" s="15">
        <v>7000</v>
      </c>
      <c r="O23" s="15">
        <v>3500</v>
      </c>
      <c r="P23" s="15">
        <v>3500</v>
      </c>
      <c r="Q23" s="15">
        <v>0</v>
      </c>
      <c r="R23" s="19" t="e">
        <f>IF(M23-K23-#REF!-#REF!-#REF!&gt;0,M23-K23-#REF!-#REF!-#REF!,0)</f>
        <v>#REF!</v>
      </c>
      <c r="S23" s="399"/>
    </row>
    <row r="24" spans="1:21" s="11" customFormat="1" ht="56.25">
      <c r="A24" s="349" t="s">
        <v>884</v>
      </c>
      <c r="B24" s="8" t="s">
        <v>875</v>
      </c>
      <c r="C24" s="338"/>
      <c r="D24" s="9"/>
      <c r="E24" s="9"/>
      <c r="F24" s="9"/>
      <c r="G24" s="9"/>
      <c r="H24" s="10">
        <f t="shared" ref="H24:R24" si="9">H25+H32+H38</f>
        <v>379876.05300000001</v>
      </c>
      <c r="I24" s="10">
        <f t="shared" si="9"/>
        <v>356521.05300000001</v>
      </c>
      <c r="J24" s="10">
        <f t="shared" si="9"/>
        <v>401967.92300000001</v>
      </c>
      <c r="K24" s="10">
        <f t="shared" si="9"/>
        <v>262573.46117899998</v>
      </c>
      <c r="L24" s="10">
        <f t="shared" si="9"/>
        <v>9746.7170000000006</v>
      </c>
      <c r="M24" s="10">
        <f t="shared" si="9"/>
        <v>309446.046179</v>
      </c>
      <c r="N24" s="10">
        <f t="shared" si="9"/>
        <v>105133.637</v>
      </c>
      <c r="O24" s="10">
        <f t="shared" si="9"/>
        <v>92592.637000000002</v>
      </c>
      <c r="P24" s="10">
        <f t="shared" si="9"/>
        <v>12541</v>
      </c>
      <c r="Q24" s="10">
        <f t="shared" si="9"/>
        <v>21870.442000000003</v>
      </c>
      <c r="R24" s="10" t="e">
        <f t="shared" si="9"/>
        <v>#REF!</v>
      </c>
      <c r="S24" s="401"/>
    </row>
    <row r="25" spans="1:21" s="5" customFormat="1" ht="37.5">
      <c r="A25" s="66" t="s">
        <v>20</v>
      </c>
      <c r="B25" s="17" t="s">
        <v>862</v>
      </c>
      <c r="C25" s="17"/>
      <c r="D25" s="339"/>
      <c r="E25" s="339"/>
      <c r="F25" s="339"/>
      <c r="G25" s="339"/>
      <c r="H25" s="7">
        <f>+H26+H28</f>
        <v>291143.05300000001</v>
      </c>
      <c r="I25" s="7">
        <f t="shared" ref="I25:O25" si="10">+I26+I28</f>
        <v>276498.05300000001</v>
      </c>
      <c r="J25" s="7">
        <f t="shared" ref="J25" si="11">+J26+J28</f>
        <v>291143.05300000001</v>
      </c>
      <c r="K25" s="7">
        <f t="shared" si="10"/>
        <v>262573.46117899998</v>
      </c>
      <c r="L25" s="7">
        <f t="shared" si="10"/>
        <v>9746.7170000000006</v>
      </c>
      <c r="M25" s="7">
        <f t="shared" si="10"/>
        <v>286553.046179</v>
      </c>
      <c r="N25" s="7">
        <f t="shared" si="10"/>
        <v>16400.636999999999</v>
      </c>
      <c r="O25" s="7">
        <f t="shared" si="10"/>
        <v>12569.637000000001</v>
      </c>
      <c r="P25" s="7">
        <f t="shared" ref="P25:Q25" si="12">+P26+P28</f>
        <v>3831</v>
      </c>
      <c r="Q25" s="7">
        <f t="shared" si="12"/>
        <v>12270.442000000003</v>
      </c>
      <c r="R25" s="7" t="e">
        <f t="shared" ref="R25" si="13">+R26+R28</f>
        <v>#REF!</v>
      </c>
      <c r="S25" s="339"/>
    </row>
    <row r="26" spans="1:21" s="5" customFormat="1" ht="37.5">
      <c r="A26" s="66" t="s">
        <v>863</v>
      </c>
      <c r="B26" s="17" t="s">
        <v>943</v>
      </c>
      <c r="C26" s="17"/>
      <c r="D26" s="339"/>
      <c r="E26" s="339"/>
      <c r="F26" s="339"/>
      <c r="G26" s="339"/>
      <c r="H26" s="7">
        <f>+H27</f>
        <v>254926.05300000001</v>
      </c>
      <c r="I26" s="7">
        <f t="shared" ref="I26:R26" si="14">+I27</f>
        <v>254926.05300000001</v>
      </c>
      <c r="J26" s="7">
        <f t="shared" si="14"/>
        <v>254926.05300000001</v>
      </c>
      <c r="K26" s="7">
        <f t="shared" si="14"/>
        <v>250957.744179</v>
      </c>
      <c r="L26" s="7">
        <f t="shared" si="14"/>
        <v>131</v>
      </c>
      <c r="M26" s="7">
        <f t="shared" si="14"/>
        <v>250957.744179</v>
      </c>
      <c r="N26" s="7">
        <f t="shared" si="14"/>
        <v>860.49400000000003</v>
      </c>
      <c r="O26" s="7">
        <f t="shared" si="14"/>
        <v>612.49400000000003</v>
      </c>
      <c r="P26" s="7">
        <f t="shared" si="14"/>
        <v>248</v>
      </c>
      <c r="Q26" s="7">
        <f t="shared" si="14"/>
        <v>248</v>
      </c>
      <c r="R26" s="7" t="e">
        <f t="shared" si="14"/>
        <v>#REF!</v>
      </c>
      <c r="S26" s="339"/>
    </row>
    <row r="27" spans="1:21" s="343" customFormat="1" ht="112.5">
      <c r="A27" s="18">
        <v>1</v>
      </c>
      <c r="B27" s="386" t="s">
        <v>188</v>
      </c>
      <c r="C27" s="18">
        <v>7040259</v>
      </c>
      <c r="D27" s="18" t="s">
        <v>940</v>
      </c>
      <c r="E27" s="342" t="s">
        <v>864</v>
      </c>
      <c r="F27" s="342" t="s">
        <v>941</v>
      </c>
      <c r="G27" s="18" t="s">
        <v>942</v>
      </c>
      <c r="H27" s="341">
        <v>254926.05300000001</v>
      </c>
      <c r="I27" s="341">
        <v>254926.05300000001</v>
      </c>
      <c r="J27" s="341">
        <v>254926.05300000001</v>
      </c>
      <c r="K27" s="341">
        <v>250957.744179</v>
      </c>
      <c r="L27" s="341">
        <v>131</v>
      </c>
      <c r="M27" s="341">
        <v>250957.744179</v>
      </c>
      <c r="N27" s="341">
        <f>+O27+P27</f>
        <v>860.49400000000003</v>
      </c>
      <c r="O27" s="341">
        <v>612.49400000000003</v>
      </c>
      <c r="P27" s="341">
        <v>248</v>
      </c>
      <c r="Q27" s="341">
        <v>248</v>
      </c>
      <c r="R27" s="19" t="e">
        <f>IF(M27-K27-#REF!-#REF!-#REF!&gt;0,M27-K27-#REF!-#REF!-#REF!,0)</f>
        <v>#REF!</v>
      </c>
      <c r="S27" s="384"/>
    </row>
    <row r="28" spans="1:21" ht="37.5">
      <c r="A28" s="65" t="s">
        <v>865</v>
      </c>
      <c r="B28" s="17" t="s">
        <v>866</v>
      </c>
      <c r="C28" s="17"/>
      <c r="D28" s="13"/>
      <c r="E28" s="13"/>
      <c r="F28" s="13"/>
      <c r="G28" s="13"/>
      <c r="H28" s="7">
        <f>SUM(H29)</f>
        <v>36217</v>
      </c>
      <c r="I28" s="7">
        <f t="shared" ref="I28:R28" si="15">SUM(I29)</f>
        <v>21572</v>
      </c>
      <c r="J28" s="7">
        <f t="shared" si="15"/>
        <v>36217</v>
      </c>
      <c r="K28" s="7">
        <f t="shared" si="15"/>
        <v>11615.717000000001</v>
      </c>
      <c r="L28" s="7">
        <f t="shared" si="15"/>
        <v>9615.7170000000006</v>
      </c>
      <c r="M28" s="7">
        <f t="shared" si="15"/>
        <v>35595.302000000003</v>
      </c>
      <c r="N28" s="7">
        <f t="shared" si="15"/>
        <v>15540.143</v>
      </c>
      <c r="O28" s="7">
        <f t="shared" si="15"/>
        <v>11957.143</v>
      </c>
      <c r="P28" s="7">
        <f t="shared" si="15"/>
        <v>3583</v>
      </c>
      <c r="Q28" s="7">
        <f t="shared" si="15"/>
        <v>12022.442000000003</v>
      </c>
      <c r="R28" s="7" t="e">
        <f t="shared" si="15"/>
        <v>#REF!</v>
      </c>
      <c r="S28" s="339"/>
    </row>
    <row r="29" spans="1:21" s="343" customFormat="1" ht="75">
      <c r="A29" s="18">
        <v>1</v>
      </c>
      <c r="B29" s="396" t="s">
        <v>975</v>
      </c>
      <c r="C29" s="396">
        <v>7290435</v>
      </c>
      <c r="D29" s="397" t="s">
        <v>39</v>
      </c>
      <c r="E29" s="396" t="s">
        <v>74</v>
      </c>
      <c r="F29" s="396" t="s">
        <v>252</v>
      </c>
      <c r="G29" s="18" t="s">
        <v>976</v>
      </c>
      <c r="H29" s="398">
        <v>36217</v>
      </c>
      <c r="I29" s="398">
        <v>21572</v>
      </c>
      <c r="J29" s="398">
        <v>36217</v>
      </c>
      <c r="K29" s="341">
        <f>L29+2000</f>
        <v>11615.717000000001</v>
      </c>
      <c r="L29" s="341">
        <v>9615.7170000000006</v>
      </c>
      <c r="M29" s="341">
        <f>36217-621.698</f>
        <v>35595.302000000003</v>
      </c>
      <c r="N29" s="341">
        <f>+O29+P29</f>
        <v>15540.143</v>
      </c>
      <c r="O29" s="341">
        <v>11957.143</v>
      </c>
      <c r="P29" s="16">
        <v>3583</v>
      </c>
      <c r="Q29" s="16">
        <f>+M29-K29-O29</f>
        <v>12022.442000000003</v>
      </c>
      <c r="R29" s="19" t="e">
        <f>IF(M29-K29-#REF!-#REF!-#REF!&gt;0,M29-K29-#REF!-#REF!-#REF!,0)</f>
        <v>#REF!</v>
      </c>
      <c r="S29" s="388"/>
      <c r="U29" s="389"/>
    </row>
    <row r="30" spans="1:21" ht="37.5">
      <c r="A30" s="65" t="s">
        <v>867</v>
      </c>
      <c r="B30" s="17" t="s">
        <v>868</v>
      </c>
      <c r="C30" s="17"/>
      <c r="D30" s="13"/>
      <c r="E30" s="13"/>
      <c r="F30" s="13"/>
      <c r="G30" s="13"/>
      <c r="H30" s="344">
        <f>SUM(H31)</f>
        <v>12500</v>
      </c>
      <c r="I30" s="344">
        <f t="shared" ref="I30:R30" si="16">SUM(I31)</f>
        <v>11250</v>
      </c>
      <c r="J30" s="344">
        <f t="shared" si="16"/>
        <v>12500</v>
      </c>
      <c r="K30" s="344">
        <f t="shared" si="16"/>
        <v>0</v>
      </c>
      <c r="L30" s="344">
        <f t="shared" si="16"/>
        <v>0</v>
      </c>
      <c r="M30" s="344">
        <f t="shared" si="16"/>
        <v>0</v>
      </c>
      <c r="N30" s="344">
        <f t="shared" si="16"/>
        <v>12500</v>
      </c>
      <c r="O30" s="344">
        <f t="shared" si="16"/>
        <v>11250</v>
      </c>
      <c r="P30" s="344">
        <f t="shared" si="16"/>
        <v>1250</v>
      </c>
      <c r="Q30" s="344">
        <f t="shared" si="16"/>
        <v>1250</v>
      </c>
      <c r="R30" s="344" t="e">
        <f t="shared" si="16"/>
        <v>#REF!</v>
      </c>
      <c r="S30" s="342"/>
    </row>
    <row r="31" spans="1:21" ht="56.25">
      <c r="A31" s="65" t="s">
        <v>21</v>
      </c>
      <c r="B31" s="387" t="s">
        <v>869</v>
      </c>
      <c r="C31" s="17"/>
      <c r="D31" s="13" t="s">
        <v>99</v>
      </c>
      <c r="E31" s="13" t="s">
        <v>48</v>
      </c>
      <c r="F31" s="13">
        <v>2024</v>
      </c>
      <c r="G31" s="13"/>
      <c r="H31" s="341">
        <v>12500</v>
      </c>
      <c r="I31" s="341">
        <v>11250</v>
      </c>
      <c r="J31" s="341">
        <v>12500</v>
      </c>
      <c r="K31" s="344"/>
      <c r="L31" s="344"/>
      <c r="M31" s="344">
        <v>0</v>
      </c>
      <c r="N31" s="341">
        <v>12500</v>
      </c>
      <c r="O31" s="341">
        <v>11250</v>
      </c>
      <c r="P31" s="16">
        <f>+N31-O31</f>
        <v>1250</v>
      </c>
      <c r="Q31" s="16">
        <v>1250</v>
      </c>
      <c r="R31" s="19" t="e">
        <f>IF(M31-K31-#REF!-#REF!-#REF!&gt;0,M31-K31-#REF!-#REF!-#REF!,0)</f>
        <v>#REF!</v>
      </c>
      <c r="S31" s="342"/>
      <c r="U31" s="20">
        <f>+O31+U33</f>
        <v>11250</v>
      </c>
    </row>
    <row r="32" spans="1:21" s="5" customFormat="1">
      <c r="A32" s="66" t="s">
        <v>23</v>
      </c>
      <c r="B32" s="17" t="s">
        <v>870</v>
      </c>
      <c r="C32" s="17"/>
      <c r="D32" s="339"/>
      <c r="E32" s="339"/>
      <c r="F32" s="339"/>
      <c r="G32" s="339"/>
      <c r="H32" s="7">
        <f>H33</f>
        <v>33000</v>
      </c>
      <c r="I32" s="7">
        <f t="shared" ref="I32:R32" si="17">I33</f>
        <v>29700</v>
      </c>
      <c r="J32" s="7">
        <f t="shared" si="17"/>
        <v>28824.87</v>
      </c>
      <c r="K32" s="7">
        <f t="shared" si="17"/>
        <v>0</v>
      </c>
      <c r="L32" s="7">
        <f t="shared" si="17"/>
        <v>0</v>
      </c>
      <c r="M32" s="7">
        <f t="shared" si="17"/>
        <v>22893</v>
      </c>
      <c r="N32" s="7">
        <f t="shared" si="17"/>
        <v>33000</v>
      </c>
      <c r="O32" s="7">
        <f t="shared" si="17"/>
        <v>29700</v>
      </c>
      <c r="P32" s="7">
        <f t="shared" si="17"/>
        <v>3300</v>
      </c>
      <c r="Q32" s="7">
        <f t="shared" si="17"/>
        <v>1400</v>
      </c>
      <c r="R32" s="7" t="e">
        <f t="shared" si="17"/>
        <v>#REF!</v>
      </c>
      <c r="S32" s="339"/>
    </row>
    <row r="33" spans="1:21" ht="37.5">
      <c r="A33" s="65" t="s">
        <v>863</v>
      </c>
      <c r="B33" s="17" t="s">
        <v>868</v>
      </c>
      <c r="C33" s="17"/>
      <c r="D33" s="13"/>
      <c r="E33" s="13"/>
      <c r="F33" s="13"/>
      <c r="G33" s="13"/>
      <c r="H33" s="344">
        <f>SUM(H34:H37)</f>
        <v>33000</v>
      </c>
      <c r="I33" s="344">
        <f t="shared" ref="I33:O33" si="18">SUM(I34:I37)</f>
        <v>29700</v>
      </c>
      <c r="J33" s="344">
        <f t="shared" ref="J33" si="19">SUM(J34:J37)</f>
        <v>28824.87</v>
      </c>
      <c r="K33" s="344">
        <f t="shared" si="18"/>
        <v>0</v>
      </c>
      <c r="L33" s="344">
        <f t="shared" si="18"/>
        <v>0</v>
      </c>
      <c r="M33" s="344">
        <f>SUM(M34:M37)</f>
        <v>22893</v>
      </c>
      <c r="N33" s="344">
        <f t="shared" si="18"/>
        <v>33000</v>
      </c>
      <c r="O33" s="344">
        <f t="shared" si="18"/>
        <v>29700</v>
      </c>
      <c r="P33" s="344">
        <f t="shared" ref="P33:Q33" si="20">SUM(P34:P37)</f>
        <v>3300</v>
      </c>
      <c r="Q33" s="344">
        <f t="shared" si="20"/>
        <v>1400</v>
      </c>
      <c r="R33" s="344" t="e">
        <f t="shared" ref="R33" si="21">SUM(R34:R37)</f>
        <v>#REF!</v>
      </c>
      <c r="S33" s="342"/>
      <c r="U33" s="404"/>
    </row>
    <row r="34" spans="1:21" ht="37.5">
      <c r="A34" s="390">
        <v>1</v>
      </c>
      <c r="B34" s="14" t="s">
        <v>977</v>
      </c>
      <c r="C34" s="17"/>
      <c r="D34" s="13" t="s">
        <v>22</v>
      </c>
      <c r="E34" s="13" t="s">
        <v>48</v>
      </c>
      <c r="F34" s="13">
        <v>2022</v>
      </c>
      <c r="G34" s="13"/>
      <c r="H34" s="341">
        <v>7000</v>
      </c>
      <c r="I34" s="341">
        <v>6300</v>
      </c>
      <c r="J34" s="341">
        <v>5901</v>
      </c>
      <c r="K34" s="344"/>
      <c r="L34" s="344"/>
      <c r="M34" s="341">
        <v>6257</v>
      </c>
      <c r="N34" s="341">
        <v>7000</v>
      </c>
      <c r="O34" s="341">
        <v>6300</v>
      </c>
      <c r="P34" s="16">
        <f>+N34-O34</f>
        <v>700</v>
      </c>
      <c r="Q34" s="16">
        <v>0</v>
      </c>
      <c r="R34" s="19" t="e">
        <f>IF(M34-K34-#REF!-#REF!-#REF!&gt;0,M34-K34-#REF!-#REF!-#REF!,0)</f>
        <v>#REF!</v>
      </c>
      <c r="S34" s="342"/>
    </row>
    <row r="35" spans="1:21" ht="37.5">
      <c r="A35" s="390">
        <v>2</v>
      </c>
      <c r="B35" s="14" t="s">
        <v>978</v>
      </c>
      <c r="C35" s="17"/>
      <c r="D35" s="13" t="s">
        <v>41</v>
      </c>
      <c r="E35" s="13" t="s">
        <v>48</v>
      </c>
      <c r="F35" s="13">
        <v>2022</v>
      </c>
      <c r="G35" s="13"/>
      <c r="H35" s="341">
        <v>7000</v>
      </c>
      <c r="I35" s="341">
        <v>6300</v>
      </c>
      <c r="J35" s="341">
        <v>6833.9989999999998</v>
      </c>
      <c r="K35" s="344"/>
      <c r="L35" s="344"/>
      <c r="M35" s="341">
        <v>7000</v>
      </c>
      <c r="N35" s="341">
        <v>7000</v>
      </c>
      <c r="O35" s="341">
        <v>6300</v>
      </c>
      <c r="P35" s="16">
        <f>+N35-O35</f>
        <v>700</v>
      </c>
      <c r="Q35" s="16">
        <v>700</v>
      </c>
      <c r="R35" s="19" t="e">
        <f>IF(M35-K35-#REF!-#REF!-#REF!&gt;0,M35-K35-#REF!-#REF!-#REF!,0)</f>
        <v>#REF!</v>
      </c>
      <c r="S35" s="342"/>
    </row>
    <row r="36" spans="1:21" ht="37.5">
      <c r="A36" s="390">
        <v>3</v>
      </c>
      <c r="B36" s="14" t="s">
        <v>945</v>
      </c>
      <c r="C36" s="17"/>
      <c r="D36" s="13" t="s">
        <v>38</v>
      </c>
      <c r="E36" s="13" t="s">
        <v>48</v>
      </c>
      <c r="F36" s="13">
        <v>2022</v>
      </c>
      <c r="G36" s="13"/>
      <c r="H36" s="341">
        <v>12000</v>
      </c>
      <c r="I36" s="341">
        <v>10800</v>
      </c>
      <c r="J36" s="341">
        <v>9089.8709999999992</v>
      </c>
      <c r="K36" s="344"/>
      <c r="L36" s="344"/>
      <c r="M36" s="341">
        <v>9636</v>
      </c>
      <c r="N36" s="341">
        <v>12000</v>
      </c>
      <c r="O36" s="341">
        <v>10800</v>
      </c>
      <c r="P36" s="16">
        <f>+N36-O36</f>
        <v>1200</v>
      </c>
      <c r="Q36" s="16">
        <v>0</v>
      </c>
      <c r="R36" s="19" t="e">
        <f>IF(M36-K36-#REF!-#REF!-#REF!&gt;0,M36-K36-#REF!-#REF!-#REF!,0)</f>
        <v>#REF!</v>
      </c>
      <c r="S36" s="342"/>
    </row>
    <row r="37" spans="1:21" ht="37.5">
      <c r="A37" s="390">
        <v>4</v>
      </c>
      <c r="B37" s="14" t="s">
        <v>97</v>
      </c>
      <c r="C37" s="17"/>
      <c r="D37" s="13" t="s">
        <v>40</v>
      </c>
      <c r="E37" s="13" t="s">
        <v>48</v>
      </c>
      <c r="F37" s="13">
        <v>2023</v>
      </c>
      <c r="G37" s="13"/>
      <c r="H37" s="341">
        <v>7000</v>
      </c>
      <c r="I37" s="341">
        <v>6300</v>
      </c>
      <c r="J37" s="341">
        <v>7000</v>
      </c>
      <c r="K37" s="344"/>
      <c r="L37" s="344"/>
      <c r="M37" s="344"/>
      <c r="N37" s="341">
        <v>7000</v>
      </c>
      <c r="O37" s="341">
        <v>6300</v>
      </c>
      <c r="P37" s="16">
        <v>700</v>
      </c>
      <c r="Q37" s="16">
        <v>700</v>
      </c>
      <c r="R37" s="19" t="e">
        <f>IF(M37-K37-#REF!-#REF!-#REF!&gt;0,M37-K37-#REF!-#REF!-#REF!,0)</f>
        <v>#REF!</v>
      </c>
      <c r="S37" s="342"/>
    </row>
    <row r="38" spans="1:21" s="5" customFormat="1">
      <c r="A38" s="66" t="s">
        <v>98</v>
      </c>
      <c r="B38" s="17" t="s">
        <v>871</v>
      </c>
      <c r="C38" s="17"/>
      <c r="D38" s="339"/>
      <c r="E38" s="339"/>
      <c r="F38" s="339"/>
      <c r="G38" s="339"/>
      <c r="H38" s="7">
        <f>+H39</f>
        <v>55733</v>
      </c>
      <c r="I38" s="7">
        <f t="shared" ref="I38:R38" si="22">+I39</f>
        <v>50323</v>
      </c>
      <c r="J38" s="7">
        <f t="shared" si="22"/>
        <v>82000</v>
      </c>
      <c r="K38" s="7">
        <f t="shared" si="22"/>
        <v>0</v>
      </c>
      <c r="L38" s="7">
        <f t="shared" si="22"/>
        <v>0</v>
      </c>
      <c r="M38" s="7">
        <f t="shared" si="22"/>
        <v>0</v>
      </c>
      <c r="N38" s="7">
        <f t="shared" si="22"/>
        <v>55733</v>
      </c>
      <c r="O38" s="7">
        <f t="shared" si="22"/>
        <v>50323</v>
      </c>
      <c r="P38" s="7">
        <f t="shared" si="22"/>
        <v>5410</v>
      </c>
      <c r="Q38" s="7">
        <f t="shared" si="22"/>
        <v>8200</v>
      </c>
      <c r="R38" s="7" t="e">
        <f t="shared" si="22"/>
        <v>#REF!</v>
      </c>
      <c r="S38" s="339"/>
    </row>
    <row r="39" spans="1:21" ht="37.5">
      <c r="A39" s="66" t="s">
        <v>867</v>
      </c>
      <c r="B39" s="17" t="s">
        <v>868</v>
      </c>
      <c r="C39" s="17"/>
      <c r="D39" s="13"/>
      <c r="E39" s="13"/>
      <c r="F39" s="13"/>
      <c r="G39" s="13"/>
      <c r="H39" s="344">
        <f>SUM(H40)</f>
        <v>55733</v>
      </c>
      <c r="I39" s="344">
        <f t="shared" ref="I39:R39" si="23">SUM(I40)</f>
        <v>50323</v>
      </c>
      <c r="J39" s="344">
        <f t="shared" si="23"/>
        <v>82000</v>
      </c>
      <c r="K39" s="344">
        <f t="shared" si="23"/>
        <v>0</v>
      </c>
      <c r="L39" s="344">
        <f t="shared" si="23"/>
        <v>0</v>
      </c>
      <c r="M39" s="344">
        <f t="shared" si="23"/>
        <v>0</v>
      </c>
      <c r="N39" s="344">
        <f t="shared" si="23"/>
        <v>55733</v>
      </c>
      <c r="O39" s="344">
        <f t="shared" si="23"/>
        <v>50323</v>
      </c>
      <c r="P39" s="344">
        <f t="shared" si="23"/>
        <v>5410</v>
      </c>
      <c r="Q39" s="344">
        <f t="shared" si="23"/>
        <v>8200</v>
      </c>
      <c r="R39" s="344" t="e">
        <f t="shared" si="23"/>
        <v>#REF!</v>
      </c>
      <c r="S39" s="342"/>
    </row>
    <row r="40" spans="1:21" ht="93.75">
      <c r="A40" s="65" t="s">
        <v>21</v>
      </c>
      <c r="B40" s="391" t="s">
        <v>931</v>
      </c>
      <c r="C40" s="17"/>
      <c r="D40" s="13" t="s">
        <v>932</v>
      </c>
      <c r="E40" s="13" t="s">
        <v>48</v>
      </c>
      <c r="F40" s="13" t="s">
        <v>933</v>
      </c>
      <c r="G40" s="13"/>
      <c r="H40" s="341">
        <v>55733</v>
      </c>
      <c r="I40" s="341">
        <v>50323</v>
      </c>
      <c r="J40" s="341">
        <v>82000</v>
      </c>
      <c r="K40" s="344"/>
      <c r="L40" s="344"/>
      <c r="M40" s="344">
        <v>0</v>
      </c>
      <c r="N40" s="341">
        <v>55733</v>
      </c>
      <c r="O40" s="341">
        <v>50323</v>
      </c>
      <c r="P40" s="16">
        <v>5410</v>
      </c>
      <c r="Q40" s="16">
        <f>+J40*0.1</f>
        <v>8200</v>
      </c>
      <c r="R40" s="19" t="e">
        <f>IF(M40-K40-#REF!-#REF!-#REF!&gt;0,M40-K40-#REF!-#REF!-#REF!,0)</f>
        <v>#REF!</v>
      </c>
      <c r="S40" s="342"/>
    </row>
    <row r="41" spans="1:21">
      <c r="B41" s="392"/>
      <c r="C41" s="5"/>
      <c r="H41" s="393"/>
      <c r="I41" s="393"/>
      <c r="J41" s="393"/>
      <c r="K41" s="394"/>
      <c r="L41" s="394"/>
      <c r="M41" s="394"/>
      <c r="N41" s="393"/>
      <c r="O41" s="393"/>
      <c r="P41" s="395"/>
      <c r="Q41" s="395"/>
      <c r="R41" s="405"/>
      <c r="S41" s="403"/>
    </row>
    <row r="42" spans="1:21">
      <c r="B42" s="392"/>
      <c r="C42" s="5"/>
      <c r="H42" s="393"/>
      <c r="I42" s="393"/>
      <c r="J42" s="393"/>
      <c r="K42" s="394"/>
      <c r="L42" s="394"/>
      <c r="M42" s="394"/>
      <c r="N42" s="538" t="s">
        <v>1038</v>
      </c>
      <c r="O42" s="538"/>
      <c r="P42" s="538"/>
      <c r="Q42" s="538"/>
      <c r="R42" s="538"/>
      <c r="S42" s="538"/>
    </row>
    <row r="43" spans="1:21" ht="15.75" customHeight="1">
      <c r="B43" s="392"/>
      <c r="C43" s="5"/>
      <c r="H43" s="393"/>
      <c r="I43" s="393"/>
      <c r="J43" s="393"/>
      <c r="K43" s="394"/>
      <c r="L43" s="394"/>
      <c r="M43" s="394"/>
      <c r="N43" s="393"/>
      <c r="O43" s="393"/>
      <c r="P43" s="395"/>
      <c r="Q43" s="395"/>
      <c r="R43" s="393"/>
      <c r="S43" s="403"/>
    </row>
    <row r="44" spans="1:21">
      <c r="A44" s="345"/>
      <c r="E44" s="20"/>
      <c r="G44" s="20"/>
      <c r="H44" s="20"/>
      <c r="K44" s="20"/>
      <c r="L44" s="20"/>
      <c r="M44" s="20"/>
      <c r="N44" s="346"/>
      <c r="O44" s="346"/>
      <c r="P44" s="346"/>
      <c r="Q44" s="346"/>
      <c r="R44" s="531"/>
      <c r="S44" s="531"/>
    </row>
    <row r="45" spans="1:21">
      <c r="A45" s="345"/>
      <c r="E45" s="20"/>
      <c r="G45" s="20"/>
      <c r="H45" s="20"/>
      <c r="K45" s="20"/>
      <c r="L45" s="20"/>
      <c r="M45" s="20"/>
      <c r="N45" s="346"/>
      <c r="O45" s="346"/>
      <c r="P45" s="346"/>
      <c r="Q45" s="346"/>
      <c r="R45" s="346"/>
    </row>
    <row r="46" spans="1:21">
      <c r="A46" s="345"/>
      <c r="E46" s="20"/>
      <c r="G46" s="20"/>
      <c r="H46" s="20"/>
      <c r="K46" s="20"/>
      <c r="L46" s="20"/>
      <c r="M46" s="20"/>
      <c r="N46" s="346"/>
      <c r="O46" s="346"/>
      <c r="P46" s="346"/>
      <c r="Q46" s="346"/>
      <c r="R46" s="346"/>
    </row>
    <row r="47" spans="1:21">
      <c r="A47" s="345"/>
      <c r="E47" s="20"/>
      <c r="G47" s="20"/>
      <c r="H47" s="20"/>
      <c r="K47" s="20"/>
      <c r="L47" s="20"/>
      <c r="M47" s="20"/>
      <c r="N47" s="346"/>
      <c r="O47" s="346"/>
      <c r="P47" s="346"/>
      <c r="Q47" s="346"/>
      <c r="R47" s="346"/>
    </row>
    <row r="48" spans="1:21">
      <c r="A48" s="345"/>
      <c r="E48" s="20"/>
      <c r="G48" s="20"/>
      <c r="H48" s="20"/>
      <c r="K48" s="20"/>
      <c r="L48" s="20"/>
      <c r="M48" s="20"/>
      <c r="N48" s="346"/>
      <c r="O48" s="346"/>
      <c r="P48" s="346"/>
      <c r="Q48" s="346"/>
      <c r="R48" s="346"/>
    </row>
    <row r="49" spans="1:18">
      <c r="A49" s="345"/>
      <c r="E49" s="20"/>
      <c r="G49" s="20"/>
      <c r="H49" s="20"/>
      <c r="K49" s="20"/>
      <c r="L49" s="20"/>
      <c r="M49" s="20"/>
      <c r="N49" s="346"/>
      <c r="O49" s="346"/>
      <c r="P49" s="346"/>
      <c r="Q49" s="346"/>
      <c r="R49" s="346"/>
    </row>
    <row r="50" spans="1:18">
      <c r="A50" s="345"/>
      <c r="E50" s="20"/>
      <c r="G50" s="20"/>
      <c r="H50" s="20"/>
      <c r="K50" s="20"/>
      <c r="L50" s="20"/>
      <c r="M50" s="20"/>
      <c r="N50" s="346"/>
      <c r="O50" s="346"/>
      <c r="P50" s="346"/>
      <c r="Q50" s="346"/>
      <c r="R50" s="346"/>
    </row>
    <row r="51" spans="1:18">
      <c r="A51" s="345"/>
      <c r="E51" s="20"/>
      <c r="G51" s="20"/>
      <c r="H51" s="20"/>
      <c r="K51" s="20"/>
      <c r="L51" s="20"/>
      <c r="M51" s="20"/>
      <c r="N51" s="346"/>
      <c r="O51" s="346"/>
      <c r="P51" s="346"/>
      <c r="Q51" s="346"/>
      <c r="R51" s="346"/>
    </row>
    <row r="52" spans="1:18">
      <c r="A52" s="345"/>
      <c r="E52" s="20"/>
      <c r="G52" s="20"/>
      <c r="H52" s="20"/>
      <c r="K52" s="20"/>
      <c r="L52" s="20"/>
      <c r="M52" s="20"/>
      <c r="N52" s="346"/>
      <c r="O52" s="346"/>
      <c r="P52" s="346"/>
      <c r="Q52" s="346"/>
      <c r="R52" s="346"/>
    </row>
    <row r="53" spans="1:18">
      <c r="A53" s="345"/>
      <c r="E53" s="20"/>
      <c r="G53" s="20"/>
      <c r="H53" s="20"/>
      <c r="K53" s="20"/>
      <c r="L53" s="20"/>
      <c r="M53" s="20"/>
      <c r="N53" s="346"/>
      <c r="O53" s="346"/>
      <c r="P53" s="346"/>
      <c r="Q53" s="346"/>
      <c r="R53" s="346"/>
    </row>
    <row r="54" spans="1:18">
      <c r="A54" s="345"/>
      <c r="E54" s="20"/>
      <c r="G54" s="20"/>
      <c r="H54" s="20"/>
      <c r="K54" s="20"/>
      <c r="L54" s="20"/>
      <c r="M54" s="20"/>
      <c r="N54" s="346"/>
      <c r="O54" s="346"/>
      <c r="P54" s="346"/>
      <c r="Q54" s="346"/>
      <c r="R54" s="346"/>
    </row>
    <row r="55" spans="1:18">
      <c r="A55" s="345"/>
      <c r="E55" s="20"/>
      <c r="G55" s="20"/>
      <c r="H55" s="20"/>
      <c r="K55" s="20"/>
      <c r="L55" s="20"/>
      <c r="M55" s="20"/>
      <c r="N55" s="346"/>
      <c r="O55" s="346"/>
      <c r="P55" s="346"/>
      <c r="Q55" s="346"/>
      <c r="R55" s="346"/>
    </row>
    <row r="56" spans="1:18">
      <c r="A56" s="345"/>
      <c r="E56" s="20"/>
      <c r="G56" s="20"/>
      <c r="H56" s="20"/>
      <c r="K56" s="20"/>
      <c r="L56" s="20"/>
      <c r="M56" s="20"/>
      <c r="N56" s="346"/>
      <c r="O56" s="346"/>
      <c r="P56" s="346"/>
      <c r="Q56" s="346"/>
      <c r="R56" s="346"/>
    </row>
    <row r="57" spans="1:18">
      <c r="A57" s="345"/>
      <c r="E57" s="20"/>
      <c r="G57" s="20"/>
      <c r="H57" s="20"/>
      <c r="K57" s="20"/>
      <c r="L57" s="20"/>
      <c r="M57" s="20"/>
      <c r="N57" s="346"/>
      <c r="O57" s="346"/>
      <c r="P57" s="346"/>
      <c r="Q57" s="346"/>
      <c r="R57" s="346"/>
    </row>
    <row r="58" spans="1:18">
      <c r="A58" s="345"/>
      <c r="E58" s="20"/>
      <c r="G58" s="20"/>
      <c r="H58" s="20"/>
      <c r="K58" s="20"/>
      <c r="L58" s="20"/>
      <c r="M58" s="20"/>
      <c r="N58" s="346"/>
      <c r="O58" s="346"/>
      <c r="P58" s="346"/>
      <c r="Q58" s="346"/>
      <c r="R58" s="346"/>
    </row>
    <row r="59" spans="1:18">
      <c r="A59" s="345"/>
      <c r="E59" s="20"/>
      <c r="G59" s="20"/>
      <c r="H59" s="20"/>
      <c r="K59" s="20"/>
      <c r="L59" s="20"/>
      <c r="M59" s="20"/>
      <c r="N59" s="346"/>
      <c r="O59" s="346"/>
      <c r="P59" s="346"/>
      <c r="Q59" s="346"/>
      <c r="R59" s="346"/>
    </row>
    <row r="60" spans="1:18">
      <c r="A60" s="345"/>
      <c r="E60" s="20"/>
      <c r="G60" s="20"/>
      <c r="H60" s="20"/>
      <c r="K60" s="20"/>
      <c r="L60" s="20"/>
      <c r="M60" s="20"/>
      <c r="N60" s="346"/>
      <c r="O60" s="346"/>
      <c r="P60" s="346"/>
      <c r="Q60" s="346"/>
      <c r="R60" s="346"/>
    </row>
    <row r="61" spans="1:18">
      <c r="A61" s="345"/>
      <c r="E61" s="20"/>
      <c r="G61" s="20"/>
      <c r="H61" s="20"/>
      <c r="K61" s="20"/>
      <c r="L61" s="20"/>
      <c r="M61" s="20"/>
      <c r="N61" s="346"/>
      <c r="O61" s="346"/>
      <c r="P61" s="346"/>
      <c r="Q61" s="346"/>
      <c r="R61" s="346"/>
    </row>
    <row r="62" spans="1:18">
      <c r="A62" s="345"/>
      <c r="E62" s="20"/>
      <c r="G62" s="20"/>
      <c r="H62" s="20"/>
      <c r="K62" s="20"/>
      <c r="L62" s="20"/>
      <c r="M62" s="20"/>
      <c r="N62" s="346"/>
      <c r="O62" s="346"/>
      <c r="P62" s="346"/>
      <c r="Q62" s="346"/>
      <c r="R62" s="346"/>
    </row>
    <row r="63" spans="1:18">
      <c r="A63" s="345"/>
      <c r="E63" s="20"/>
      <c r="G63" s="20"/>
      <c r="H63" s="20"/>
      <c r="K63" s="20"/>
      <c r="L63" s="20"/>
      <c r="M63" s="20"/>
      <c r="N63" s="346"/>
      <c r="O63" s="346"/>
      <c r="P63" s="346"/>
      <c r="Q63" s="346"/>
      <c r="R63" s="346"/>
    </row>
    <row r="64" spans="1:18">
      <c r="A64" s="345"/>
      <c r="E64" s="20"/>
      <c r="G64" s="20"/>
      <c r="H64" s="20"/>
      <c r="K64" s="20"/>
      <c r="L64" s="20"/>
      <c r="M64" s="20"/>
      <c r="N64" s="346"/>
      <c r="O64" s="346"/>
      <c r="P64" s="346"/>
      <c r="Q64" s="346"/>
      <c r="R64" s="346"/>
    </row>
    <row r="65" spans="1:18">
      <c r="A65" s="345"/>
      <c r="E65" s="20"/>
      <c r="G65" s="20"/>
      <c r="H65" s="20"/>
      <c r="K65" s="20"/>
      <c r="L65" s="20"/>
      <c r="M65" s="20"/>
      <c r="N65" s="346"/>
      <c r="O65" s="346"/>
      <c r="P65" s="346"/>
      <c r="Q65" s="346"/>
      <c r="R65" s="346"/>
    </row>
    <row r="66" spans="1:18">
      <c r="A66" s="345"/>
      <c r="E66" s="20"/>
      <c r="G66" s="20"/>
      <c r="H66" s="20"/>
      <c r="K66" s="20"/>
      <c r="L66" s="20"/>
      <c r="M66" s="20"/>
      <c r="N66" s="346"/>
      <c r="O66" s="346"/>
      <c r="P66" s="346"/>
      <c r="Q66" s="346"/>
      <c r="R66" s="346"/>
    </row>
    <row r="67" spans="1:18">
      <c r="A67" s="345"/>
      <c r="E67" s="20"/>
      <c r="G67" s="20"/>
      <c r="H67" s="20"/>
      <c r="K67" s="20"/>
      <c r="L67" s="20"/>
      <c r="M67" s="20"/>
      <c r="N67" s="346"/>
      <c r="O67" s="346"/>
      <c r="P67" s="346"/>
      <c r="Q67" s="346"/>
      <c r="R67" s="346"/>
    </row>
    <row r="68" spans="1:18">
      <c r="A68" s="345"/>
      <c r="E68" s="20"/>
      <c r="G68" s="20"/>
      <c r="H68" s="20"/>
      <c r="K68" s="20"/>
      <c r="L68" s="20"/>
      <c r="M68" s="20"/>
      <c r="N68" s="346"/>
      <c r="O68" s="346"/>
      <c r="P68" s="346"/>
      <c r="Q68" s="346"/>
      <c r="R68" s="346"/>
    </row>
    <row r="69" spans="1:18">
      <c r="A69" s="345"/>
      <c r="E69" s="20"/>
      <c r="G69" s="20"/>
      <c r="H69" s="20"/>
      <c r="K69" s="20"/>
      <c r="L69" s="20"/>
      <c r="M69" s="20"/>
      <c r="N69" s="346"/>
      <c r="O69" s="346"/>
      <c r="P69" s="346"/>
      <c r="Q69" s="346"/>
      <c r="R69" s="346"/>
    </row>
    <row r="70" spans="1:18">
      <c r="A70" s="345"/>
      <c r="E70" s="20"/>
      <c r="G70" s="20"/>
      <c r="H70" s="20"/>
      <c r="K70" s="20"/>
      <c r="L70" s="20"/>
      <c r="M70" s="20"/>
      <c r="N70" s="346"/>
      <c r="O70" s="346"/>
      <c r="P70" s="346"/>
      <c r="Q70" s="346"/>
      <c r="R70" s="346"/>
    </row>
    <row r="71" spans="1:18">
      <c r="A71" s="345"/>
      <c r="E71" s="20"/>
      <c r="G71" s="20"/>
      <c r="H71" s="20"/>
      <c r="K71" s="20"/>
      <c r="L71" s="20"/>
      <c r="M71" s="20"/>
      <c r="N71" s="346"/>
      <c r="O71" s="346"/>
      <c r="P71" s="346"/>
      <c r="Q71" s="346"/>
      <c r="R71" s="346"/>
    </row>
    <row r="72" spans="1:18">
      <c r="A72" s="345"/>
      <c r="E72" s="20"/>
      <c r="G72" s="20"/>
      <c r="H72" s="20"/>
      <c r="K72" s="20"/>
      <c r="L72" s="20"/>
      <c r="M72" s="20"/>
      <c r="N72" s="346"/>
      <c r="O72" s="346"/>
      <c r="P72" s="346"/>
      <c r="Q72" s="346"/>
      <c r="R72" s="346"/>
    </row>
    <row r="73" spans="1:18">
      <c r="A73" s="345"/>
      <c r="E73" s="20"/>
      <c r="G73" s="20"/>
      <c r="H73" s="20"/>
      <c r="K73" s="20"/>
      <c r="L73" s="20"/>
      <c r="M73" s="20"/>
      <c r="N73" s="346"/>
      <c r="O73" s="346"/>
      <c r="P73" s="346"/>
      <c r="Q73" s="346"/>
      <c r="R73" s="346"/>
    </row>
    <row r="74" spans="1:18">
      <c r="A74" s="345"/>
      <c r="E74" s="20"/>
      <c r="G74" s="20"/>
      <c r="H74" s="20"/>
      <c r="K74" s="20"/>
      <c r="L74" s="20"/>
      <c r="M74" s="20"/>
      <c r="N74" s="346"/>
      <c r="O74" s="346"/>
      <c r="P74" s="346"/>
      <c r="Q74" s="346"/>
      <c r="R74" s="346"/>
    </row>
    <row r="75" spans="1:18">
      <c r="A75" s="345"/>
      <c r="E75" s="20"/>
      <c r="G75" s="20"/>
      <c r="H75" s="20"/>
      <c r="K75" s="20"/>
      <c r="L75" s="20"/>
      <c r="M75" s="20"/>
      <c r="N75" s="346"/>
      <c r="O75" s="346"/>
      <c r="P75" s="346"/>
      <c r="Q75" s="346"/>
      <c r="R75" s="346"/>
    </row>
    <row r="76" spans="1:18">
      <c r="A76" s="345"/>
      <c r="E76" s="20"/>
      <c r="G76" s="20"/>
      <c r="H76" s="20"/>
      <c r="K76" s="20"/>
      <c r="L76" s="20"/>
      <c r="M76" s="20"/>
      <c r="N76" s="346"/>
      <c r="O76" s="346"/>
      <c r="P76" s="346"/>
      <c r="Q76" s="346"/>
      <c r="R76" s="346"/>
    </row>
    <row r="77" spans="1:18">
      <c r="A77" s="345"/>
      <c r="E77" s="20"/>
      <c r="G77" s="20"/>
      <c r="H77" s="20"/>
      <c r="K77" s="20"/>
      <c r="L77" s="20"/>
      <c r="M77" s="20"/>
      <c r="N77" s="346"/>
      <c r="O77" s="346"/>
      <c r="P77" s="346"/>
      <c r="Q77" s="346"/>
      <c r="R77" s="346"/>
    </row>
    <row r="78" spans="1:18">
      <c r="A78" s="345"/>
      <c r="E78" s="20"/>
      <c r="G78" s="20"/>
      <c r="H78" s="20"/>
      <c r="K78" s="20"/>
      <c r="L78" s="20"/>
      <c r="M78" s="20"/>
      <c r="N78" s="346"/>
      <c r="O78" s="346"/>
      <c r="P78" s="346"/>
      <c r="Q78" s="346"/>
      <c r="R78" s="346"/>
    </row>
    <row r="79" spans="1:18">
      <c r="A79" s="345"/>
      <c r="E79" s="20"/>
      <c r="G79" s="20"/>
      <c r="H79" s="20"/>
      <c r="K79" s="20"/>
      <c r="L79" s="20"/>
      <c r="M79" s="20"/>
      <c r="N79" s="346"/>
      <c r="O79" s="346"/>
      <c r="P79" s="346"/>
      <c r="Q79" s="346"/>
      <c r="R79" s="346"/>
    </row>
    <row r="80" spans="1:18">
      <c r="A80" s="345"/>
      <c r="E80" s="20"/>
      <c r="G80" s="20"/>
      <c r="H80" s="20"/>
      <c r="K80" s="20"/>
      <c r="L80" s="20"/>
      <c r="M80" s="20"/>
      <c r="N80" s="346"/>
      <c r="O80" s="346"/>
      <c r="P80" s="346"/>
      <c r="Q80" s="346"/>
      <c r="R80" s="346"/>
    </row>
    <row r="81" spans="1:18">
      <c r="A81" s="345"/>
      <c r="E81" s="20"/>
      <c r="G81" s="20"/>
      <c r="H81" s="20"/>
      <c r="K81" s="20"/>
      <c r="L81" s="20"/>
      <c r="M81" s="20"/>
      <c r="N81" s="346"/>
      <c r="O81" s="346"/>
      <c r="P81" s="346"/>
      <c r="Q81" s="346"/>
      <c r="R81" s="346"/>
    </row>
    <row r="82" spans="1:18">
      <c r="A82" s="345"/>
      <c r="E82" s="20"/>
      <c r="G82" s="20"/>
      <c r="H82" s="20"/>
      <c r="K82" s="20"/>
      <c r="L82" s="20"/>
      <c r="M82" s="20"/>
      <c r="N82" s="346"/>
      <c r="O82" s="346"/>
      <c r="P82" s="346"/>
      <c r="Q82" s="346"/>
      <c r="R82" s="346"/>
    </row>
    <row r="83" spans="1:18">
      <c r="A83" s="345"/>
      <c r="E83" s="20"/>
      <c r="G83" s="20"/>
      <c r="H83" s="20"/>
      <c r="K83" s="20"/>
      <c r="L83" s="20"/>
      <c r="M83" s="20"/>
      <c r="N83" s="346"/>
      <c r="O83" s="346"/>
      <c r="P83" s="346"/>
      <c r="Q83" s="346"/>
      <c r="R83" s="346"/>
    </row>
    <row r="84" spans="1:18">
      <c r="A84" s="345"/>
      <c r="E84" s="20"/>
      <c r="G84" s="20"/>
      <c r="H84" s="20"/>
      <c r="K84" s="20"/>
      <c r="L84" s="20"/>
      <c r="M84" s="20"/>
      <c r="N84" s="346"/>
      <c r="O84" s="346"/>
      <c r="P84" s="346"/>
      <c r="Q84" s="346"/>
      <c r="R84" s="346"/>
    </row>
    <row r="85" spans="1:18">
      <c r="A85" s="345"/>
      <c r="E85" s="20"/>
      <c r="G85" s="20"/>
      <c r="H85" s="20"/>
      <c r="K85" s="20"/>
      <c r="L85" s="20"/>
      <c r="M85" s="20"/>
      <c r="N85" s="346"/>
      <c r="O85" s="346"/>
      <c r="P85" s="346"/>
      <c r="Q85" s="346"/>
      <c r="R85" s="346"/>
    </row>
    <row r="86" spans="1:18">
      <c r="A86" s="345"/>
      <c r="E86" s="20"/>
      <c r="G86" s="20"/>
      <c r="H86" s="20"/>
      <c r="K86" s="20"/>
      <c r="L86" s="20"/>
      <c r="M86" s="20"/>
      <c r="N86" s="346"/>
      <c r="O86" s="346"/>
      <c r="P86" s="346"/>
      <c r="Q86" s="346"/>
      <c r="R86" s="346"/>
    </row>
    <row r="87" spans="1:18">
      <c r="A87" s="345"/>
      <c r="E87" s="20"/>
      <c r="G87" s="20"/>
      <c r="H87" s="20"/>
      <c r="K87" s="20"/>
      <c r="L87" s="20"/>
      <c r="M87" s="20"/>
      <c r="N87" s="346"/>
      <c r="O87" s="346"/>
      <c r="P87" s="346"/>
      <c r="Q87" s="346"/>
      <c r="R87" s="346"/>
    </row>
    <row r="88" spans="1:18">
      <c r="A88" s="345"/>
      <c r="E88" s="20"/>
      <c r="G88" s="20"/>
      <c r="H88" s="20"/>
      <c r="K88" s="20"/>
      <c r="L88" s="20"/>
      <c r="M88" s="20"/>
      <c r="N88" s="346"/>
      <c r="O88" s="346"/>
      <c r="P88" s="346"/>
      <c r="Q88" s="346"/>
      <c r="R88" s="346"/>
    </row>
    <row r="89" spans="1:18">
      <c r="A89" s="345"/>
      <c r="E89" s="20"/>
      <c r="G89" s="20"/>
      <c r="H89" s="20"/>
      <c r="K89" s="20"/>
      <c r="L89" s="20"/>
      <c r="M89" s="20"/>
      <c r="N89" s="346"/>
      <c r="O89" s="346"/>
      <c r="P89" s="346"/>
      <c r="Q89" s="346"/>
      <c r="R89" s="346"/>
    </row>
    <row r="90" spans="1:18">
      <c r="A90" s="345"/>
      <c r="E90" s="20"/>
      <c r="G90" s="20"/>
      <c r="H90" s="20"/>
      <c r="K90" s="20"/>
      <c r="L90" s="20"/>
      <c r="M90" s="20"/>
      <c r="N90" s="346"/>
      <c r="O90" s="346"/>
      <c r="P90" s="346"/>
      <c r="Q90" s="346"/>
      <c r="R90" s="346"/>
    </row>
    <row r="91" spans="1:18">
      <c r="A91" s="345"/>
      <c r="E91" s="20"/>
      <c r="G91" s="20"/>
      <c r="H91" s="20"/>
      <c r="K91" s="20"/>
      <c r="L91" s="20"/>
      <c r="M91" s="20"/>
      <c r="N91" s="346"/>
      <c r="O91" s="346"/>
      <c r="P91" s="346"/>
      <c r="Q91" s="346"/>
      <c r="R91" s="346"/>
    </row>
    <row r="92" spans="1:18">
      <c r="A92" s="345"/>
      <c r="E92" s="20"/>
      <c r="G92" s="20"/>
      <c r="H92" s="20"/>
      <c r="K92" s="20"/>
      <c r="L92" s="20"/>
      <c r="M92" s="20"/>
      <c r="N92" s="346"/>
      <c r="O92" s="346"/>
      <c r="P92" s="346"/>
      <c r="Q92" s="346"/>
      <c r="R92" s="346"/>
    </row>
    <row r="93" spans="1:18">
      <c r="A93" s="345"/>
      <c r="E93" s="20"/>
      <c r="G93" s="20"/>
      <c r="H93" s="20"/>
      <c r="K93" s="20"/>
      <c r="L93" s="20"/>
      <c r="M93" s="20"/>
      <c r="N93" s="346"/>
      <c r="O93" s="346"/>
      <c r="P93" s="346"/>
      <c r="Q93" s="346"/>
      <c r="R93" s="346"/>
    </row>
    <row r="94" spans="1:18">
      <c r="A94" s="345"/>
      <c r="E94" s="20"/>
      <c r="G94" s="20"/>
      <c r="H94" s="20"/>
      <c r="K94" s="20"/>
      <c r="L94" s="20"/>
      <c r="M94" s="20"/>
      <c r="N94" s="346"/>
      <c r="O94" s="346"/>
      <c r="P94" s="346"/>
      <c r="Q94" s="346"/>
      <c r="R94" s="346"/>
    </row>
    <row r="95" spans="1:18">
      <c r="A95" s="345"/>
      <c r="E95" s="20"/>
      <c r="G95" s="20"/>
      <c r="H95" s="20"/>
      <c r="K95" s="20"/>
      <c r="L95" s="20"/>
      <c r="M95" s="20"/>
      <c r="N95" s="346"/>
      <c r="O95" s="346"/>
      <c r="P95" s="346"/>
      <c r="Q95" s="346"/>
      <c r="R95" s="346"/>
    </row>
    <row r="96" spans="1:18">
      <c r="A96" s="345"/>
      <c r="E96" s="20"/>
      <c r="G96" s="20"/>
      <c r="H96" s="20"/>
      <c r="K96" s="20"/>
      <c r="L96" s="20"/>
      <c r="M96" s="20"/>
      <c r="N96" s="346"/>
      <c r="O96" s="346"/>
      <c r="P96" s="346"/>
      <c r="Q96" s="346"/>
      <c r="R96" s="346"/>
    </row>
    <row r="97" spans="1:18">
      <c r="A97" s="345"/>
      <c r="E97" s="20"/>
      <c r="G97" s="20"/>
      <c r="H97" s="20"/>
      <c r="K97" s="20"/>
      <c r="L97" s="20"/>
      <c r="M97" s="20"/>
      <c r="N97" s="346"/>
      <c r="O97" s="346"/>
      <c r="P97" s="346"/>
      <c r="Q97" s="346"/>
      <c r="R97" s="346"/>
    </row>
    <row r="98" spans="1:18">
      <c r="A98" s="345"/>
      <c r="E98" s="20"/>
      <c r="G98" s="20"/>
      <c r="H98" s="20"/>
      <c r="K98" s="20"/>
      <c r="L98" s="20"/>
      <c r="M98" s="20"/>
      <c r="N98" s="346"/>
      <c r="O98" s="346"/>
      <c r="P98" s="346"/>
      <c r="Q98" s="346"/>
      <c r="R98" s="346"/>
    </row>
    <row r="99" spans="1:18">
      <c r="A99" s="345"/>
      <c r="E99" s="20"/>
      <c r="G99" s="20"/>
      <c r="H99" s="20"/>
      <c r="K99" s="20"/>
      <c r="L99" s="20"/>
      <c r="M99" s="20"/>
      <c r="N99" s="346"/>
      <c r="O99" s="346"/>
      <c r="P99" s="346"/>
      <c r="Q99" s="346"/>
      <c r="R99" s="346"/>
    </row>
    <row r="100" spans="1:18">
      <c r="A100" s="345"/>
      <c r="E100" s="20"/>
      <c r="G100" s="20"/>
      <c r="H100" s="20"/>
      <c r="K100" s="20"/>
      <c r="L100" s="20"/>
      <c r="M100" s="20"/>
      <c r="N100" s="346"/>
      <c r="O100" s="346"/>
      <c r="P100" s="346"/>
      <c r="Q100" s="346"/>
      <c r="R100" s="346"/>
    </row>
    <row r="101" spans="1:18">
      <c r="A101" s="345"/>
      <c r="E101" s="20"/>
      <c r="G101" s="20"/>
      <c r="H101" s="20"/>
      <c r="K101" s="20"/>
      <c r="L101" s="20"/>
      <c r="M101" s="20"/>
      <c r="N101" s="346"/>
      <c r="O101" s="346"/>
      <c r="P101" s="346"/>
      <c r="Q101" s="346"/>
      <c r="R101" s="346"/>
    </row>
    <row r="102" spans="1:18">
      <c r="A102" s="345"/>
      <c r="E102" s="20"/>
      <c r="G102" s="20"/>
      <c r="H102" s="20"/>
      <c r="K102" s="20"/>
      <c r="L102" s="20"/>
      <c r="M102" s="20"/>
      <c r="N102" s="346"/>
      <c r="O102" s="346"/>
      <c r="P102" s="346"/>
      <c r="Q102" s="346"/>
      <c r="R102" s="346"/>
    </row>
    <row r="103" spans="1:18">
      <c r="A103" s="345"/>
      <c r="E103" s="20"/>
      <c r="G103" s="20"/>
      <c r="H103" s="20"/>
      <c r="K103" s="20"/>
      <c r="L103" s="20"/>
      <c r="M103" s="20"/>
      <c r="N103" s="346"/>
      <c r="O103" s="346"/>
      <c r="P103" s="346"/>
      <c r="Q103" s="346"/>
      <c r="R103" s="346"/>
    </row>
    <row r="104" spans="1:18">
      <c r="A104" s="345"/>
      <c r="E104" s="20"/>
      <c r="G104" s="20"/>
      <c r="H104" s="20"/>
      <c r="K104" s="20"/>
      <c r="L104" s="20"/>
      <c r="M104" s="20"/>
      <c r="N104" s="346"/>
      <c r="O104" s="346"/>
      <c r="P104" s="346"/>
      <c r="Q104" s="346"/>
      <c r="R104" s="346"/>
    </row>
    <row r="105" spans="1:18">
      <c r="A105" s="345"/>
      <c r="E105" s="20"/>
      <c r="G105" s="20"/>
      <c r="H105" s="20"/>
      <c r="K105" s="20"/>
      <c r="L105" s="20"/>
      <c r="M105" s="20"/>
      <c r="N105" s="346"/>
      <c r="O105" s="346"/>
      <c r="P105" s="346"/>
      <c r="Q105" s="346"/>
      <c r="R105" s="346"/>
    </row>
    <row r="106" spans="1:18">
      <c r="A106" s="345"/>
      <c r="E106" s="20"/>
      <c r="G106" s="20"/>
      <c r="H106" s="20"/>
      <c r="K106" s="20"/>
      <c r="L106" s="20"/>
      <c r="M106" s="20"/>
      <c r="N106" s="346"/>
      <c r="O106" s="346"/>
      <c r="P106" s="346"/>
      <c r="Q106" s="346"/>
      <c r="R106" s="346"/>
    </row>
    <row r="107" spans="1:18">
      <c r="A107" s="345"/>
      <c r="E107" s="20"/>
      <c r="G107" s="20"/>
      <c r="H107" s="20"/>
      <c r="K107" s="20"/>
      <c r="L107" s="20"/>
      <c r="M107" s="20"/>
      <c r="N107" s="346"/>
      <c r="O107" s="346"/>
      <c r="P107" s="346"/>
      <c r="Q107" s="346"/>
      <c r="R107" s="346"/>
    </row>
    <row r="108" spans="1:18">
      <c r="A108" s="345"/>
      <c r="E108" s="20"/>
      <c r="G108" s="20"/>
      <c r="H108" s="20"/>
      <c r="K108" s="20"/>
      <c r="L108" s="20"/>
      <c r="M108" s="20"/>
      <c r="N108" s="346"/>
      <c r="O108" s="346"/>
      <c r="P108" s="346"/>
      <c r="Q108" s="346"/>
      <c r="R108" s="346"/>
    </row>
    <row r="109" spans="1:18">
      <c r="A109" s="345"/>
      <c r="E109" s="20"/>
      <c r="G109" s="20"/>
      <c r="H109" s="20"/>
      <c r="K109" s="20"/>
      <c r="L109" s="20"/>
      <c r="M109" s="20"/>
      <c r="N109" s="346"/>
      <c r="O109" s="346"/>
      <c r="P109" s="346"/>
      <c r="Q109" s="346"/>
      <c r="R109" s="346"/>
    </row>
    <row r="110" spans="1:18">
      <c r="A110" s="345"/>
      <c r="E110" s="20"/>
      <c r="G110" s="20"/>
      <c r="H110" s="20"/>
      <c r="K110" s="20"/>
      <c r="L110" s="20"/>
      <c r="M110" s="20"/>
      <c r="N110" s="346"/>
      <c r="O110" s="346"/>
      <c r="P110" s="346"/>
      <c r="Q110" s="346"/>
      <c r="R110" s="346"/>
    </row>
    <row r="111" spans="1:18">
      <c r="A111" s="345"/>
      <c r="E111" s="20"/>
      <c r="G111" s="20"/>
      <c r="H111" s="20"/>
      <c r="K111" s="20"/>
      <c r="L111" s="20"/>
      <c r="M111" s="20"/>
      <c r="N111" s="346"/>
      <c r="O111" s="346"/>
      <c r="P111" s="346"/>
      <c r="Q111" s="346"/>
      <c r="R111" s="346"/>
    </row>
    <row r="112" spans="1:18">
      <c r="A112" s="345"/>
      <c r="E112" s="20"/>
      <c r="G112" s="20"/>
      <c r="H112" s="20"/>
      <c r="K112" s="20"/>
      <c r="L112" s="20"/>
      <c r="M112" s="20"/>
      <c r="N112" s="346"/>
      <c r="O112" s="346"/>
      <c r="P112" s="346"/>
      <c r="Q112" s="346"/>
      <c r="R112" s="346"/>
    </row>
    <row r="113" spans="1:18">
      <c r="A113" s="345"/>
      <c r="E113" s="20"/>
      <c r="G113" s="20"/>
      <c r="H113" s="20"/>
      <c r="K113" s="20"/>
      <c r="L113" s="20"/>
      <c r="M113" s="20"/>
      <c r="N113" s="346"/>
      <c r="O113" s="346"/>
      <c r="P113" s="346"/>
      <c r="Q113" s="346"/>
      <c r="R113" s="346"/>
    </row>
    <row r="114" spans="1:18">
      <c r="A114" s="345"/>
      <c r="E114" s="20"/>
      <c r="G114" s="20"/>
      <c r="H114" s="20"/>
      <c r="K114" s="20"/>
      <c r="L114" s="20"/>
      <c r="M114" s="20"/>
      <c r="N114" s="346"/>
      <c r="O114" s="346"/>
      <c r="P114" s="346"/>
      <c r="Q114" s="346"/>
      <c r="R114" s="346"/>
    </row>
    <row r="115" spans="1:18">
      <c r="A115" s="345"/>
      <c r="E115" s="20"/>
      <c r="G115" s="20"/>
      <c r="H115" s="20"/>
      <c r="K115" s="20"/>
      <c r="L115" s="20"/>
      <c r="M115" s="20"/>
      <c r="N115" s="346"/>
      <c r="O115" s="346"/>
      <c r="P115" s="346"/>
      <c r="Q115" s="346"/>
      <c r="R115" s="346"/>
    </row>
    <row r="116" spans="1:18">
      <c r="A116" s="345"/>
      <c r="E116" s="20"/>
      <c r="G116" s="20"/>
      <c r="H116" s="20"/>
      <c r="K116" s="20"/>
      <c r="L116" s="20"/>
      <c r="M116" s="20"/>
      <c r="N116" s="346"/>
      <c r="O116" s="346"/>
      <c r="P116" s="346"/>
      <c r="Q116" s="346"/>
      <c r="R116" s="346"/>
    </row>
    <row r="117" spans="1:18">
      <c r="A117" s="345"/>
      <c r="E117" s="20"/>
      <c r="G117" s="20"/>
      <c r="H117" s="20"/>
      <c r="K117" s="20"/>
      <c r="L117" s="20"/>
      <c r="M117" s="20"/>
      <c r="N117" s="346"/>
      <c r="O117" s="346"/>
      <c r="P117" s="346"/>
      <c r="Q117" s="346"/>
      <c r="R117" s="346"/>
    </row>
    <row r="118" spans="1:18">
      <c r="A118" s="345"/>
      <c r="E118" s="20"/>
      <c r="G118" s="20"/>
      <c r="H118" s="20"/>
      <c r="K118" s="20"/>
      <c r="L118" s="20"/>
      <c r="M118" s="20"/>
      <c r="N118" s="346"/>
      <c r="O118" s="346"/>
      <c r="P118" s="346"/>
      <c r="Q118" s="346"/>
      <c r="R118" s="346"/>
    </row>
    <row r="119" spans="1:18">
      <c r="A119" s="345"/>
      <c r="E119" s="20"/>
      <c r="G119" s="20"/>
      <c r="H119" s="20"/>
      <c r="K119" s="20"/>
      <c r="L119" s="20"/>
      <c r="M119" s="20"/>
      <c r="N119" s="346"/>
      <c r="O119" s="346"/>
      <c r="P119" s="346"/>
      <c r="Q119" s="346"/>
      <c r="R119" s="346"/>
    </row>
    <row r="120" spans="1:18">
      <c r="A120" s="345"/>
      <c r="E120" s="20"/>
      <c r="G120" s="20"/>
      <c r="H120" s="20"/>
      <c r="K120" s="20"/>
      <c r="L120" s="20"/>
      <c r="M120" s="20"/>
      <c r="N120" s="346"/>
      <c r="O120" s="346"/>
      <c r="P120" s="346"/>
      <c r="Q120" s="346"/>
      <c r="R120" s="346"/>
    </row>
    <row r="121" spans="1:18">
      <c r="A121" s="345"/>
      <c r="E121" s="20"/>
      <c r="G121" s="20"/>
      <c r="H121" s="20"/>
      <c r="K121" s="20"/>
      <c r="L121" s="20"/>
      <c r="M121" s="20"/>
      <c r="N121" s="346"/>
      <c r="O121" s="346"/>
      <c r="P121" s="346"/>
      <c r="Q121" s="346"/>
      <c r="R121" s="346"/>
    </row>
    <row r="122" spans="1:18">
      <c r="A122" s="345"/>
      <c r="E122" s="20"/>
      <c r="G122" s="20"/>
      <c r="H122" s="20"/>
      <c r="K122" s="20"/>
      <c r="L122" s="20"/>
      <c r="M122" s="20"/>
      <c r="N122" s="346"/>
      <c r="O122" s="346"/>
      <c r="P122" s="346"/>
      <c r="Q122" s="346"/>
      <c r="R122" s="346"/>
    </row>
    <row r="123" spans="1:18">
      <c r="A123" s="345"/>
      <c r="E123" s="20"/>
      <c r="G123" s="20"/>
      <c r="H123" s="20"/>
      <c r="K123" s="20"/>
      <c r="L123" s="20"/>
      <c r="M123" s="20"/>
      <c r="N123" s="346"/>
      <c r="O123" s="346"/>
      <c r="P123" s="346"/>
      <c r="Q123" s="346"/>
      <c r="R123" s="346"/>
    </row>
    <row r="124" spans="1:18">
      <c r="A124" s="345"/>
      <c r="E124" s="20"/>
      <c r="G124" s="20"/>
      <c r="H124" s="20"/>
      <c r="K124" s="20"/>
      <c r="L124" s="20"/>
      <c r="M124" s="20"/>
      <c r="N124" s="346"/>
      <c r="O124" s="346"/>
      <c r="P124" s="346"/>
      <c r="Q124" s="346"/>
      <c r="R124" s="346"/>
    </row>
    <row r="125" spans="1:18">
      <c r="A125" s="345"/>
      <c r="E125" s="20"/>
      <c r="G125" s="20"/>
      <c r="H125" s="20"/>
      <c r="K125" s="20"/>
      <c r="L125" s="20"/>
      <c r="M125" s="20"/>
      <c r="N125" s="346"/>
      <c r="O125" s="346"/>
      <c r="P125" s="346"/>
      <c r="Q125" s="346"/>
      <c r="R125" s="346"/>
    </row>
    <row r="126" spans="1:18">
      <c r="A126" s="345"/>
      <c r="E126" s="20"/>
      <c r="G126" s="20"/>
      <c r="H126" s="20"/>
      <c r="K126" s="20"/>
      <c r="L126" s="20"/>
      <c r="M126" s="20"/>
      <c r="N126" s="346"/>
      <c r="O126" s="346"/>
      <c r="P126" s="346"/>
      <c r="Q126" s="346"/>
      <c r="R126" s="346"/>
    </row>
    <row r="127" spans="1:18">
      <c r="A127" s="345"/>
      <c r="E127" s="20"/>
      <c r="G127" s="20"/>
      <c r="H127" s="20"/>
      <c r="K127" s="20"/>
      <c r="L127" s="20"/>
      <c r="M127" s="20"/>
      <c r="N127" s="346"/>
      <c r="O127" s="346"/>
      <c r="P127" s="346"/>
      <c r="Q127" s="346"/>
      <c r="R127" s="346"/>
    </row>
    <row r="128" spans="1:18">
      <c r="A128" s="345"/>
      <c r="E128" s="20"/>
      <c r="G128" s="20"/>
      <c r="H128" s="20"/>
      <c r="K128" s="20"/>
      <c r="L128" s="20"/>
      <c r="M128" s="20"/>
      <c r="N128" s="346"/>
      <c r="O128" s="346"/>
      <c r="P128" s="346"/>
      <c r="Q128" s="346"/>
      <c r="R128" s="346"/>
    </row>
    <row r="129" spans="1:18">
      <c r="A129" s="345"/>
      <c r="E129" s="20"/>
      <c r="G129" s="20"/>
      <c r="H129" s="20"/>
      <c r="K129" s="20"/>
      <c r="L129" s="20"/>
      <c r="M129" s="20"/>
      <c r="N129" s="346"/>
      <c r="O129" s="346"/>
      <c r="P129" s="346"/>
      <c r="Q129" s="346"/>
      <c r="R129" s="346"/>
    </row>
    <row r="130" spans="1:18">
      <c r="A130" s="345"/>
      <c r="E130" s="20"/>
      <c r="G130" s="20"/>
      <c r="H130" s="20"/>
      <c r="K130" s="20"/>
      <c r="L130" s="20"/>
      <c r="M130" s="20"/>
      <c r="N130" s="346"/>
      <c r="O130" s="346"/>
      <c r="P130" s="346"/>
      <c r="Q130" s="346"/>
      <c r="R130" s="346"/>
    </row>
    <row r="131" spans="1:18">
      <c r="A131" s="345"/>
      <c r="E131" s="20"/>
      <c r="G131" s="20"/>
      <c r="H131" s="20"/>
      <c r="K131" s="20"/>
      <c r="L131" s="20"/>
      <c r="M131" s="20"/>
      <c r="N131" s="346"/>
      <c r="O131" s="346"/>
      <c r="P131" s="346"/>
      <c r="Q131" s="346"/>
      <c r="R131" s="346"/>
    </row>
    <row r="132" spans="1:18">
      <c r="A132" s="345"/>
      <c r="E132" s="20"/>
      <c r="G132" s="20"/>
      <c r="H132" s="20"/>
      <c r="K132" s="20"/>
      <c r="L132" s="20"/>
      <c r="M132" s="20"/>
      <c r="N132" s="346"/>
      <c r="O132" s="346"/>
      <c r="P132" s="346"/>
      <c r="Q132" s="346"/>
      <c r="R132" s="346"/>
    </row>
    <row r="133" spans="1:18">
      <c r="A133" s="345"/>
      <c r="E133" s="20"/>
      <c r="G133" s="20"/>
      <c r="H133" s="20"/>
      <c r="K133" s="20"/>
      <c r="L133" s="20"/>
      <c r="M133" s="20"/>
      <c r="N133" s="346"/>
      <c r="O133" s="346"/>
      <c r="P133" s="346"/>
      <c r="Q133" s="346"/>
      <c r="R133" s="346"/>
    </row>
    <row r="134" spans="1:18">
      <c r="A134" s="345"/>
      <c r="E134" s="20"/>
      <c r="G134" s="20"/>
      <c r="H134" s="20"/>
      <c r="K134" s="20"/>
      <c r="L134" s="20"/>
      <c r="M134" s="20"/>
      <c r="N134" s="346"/>
      <c r="O134" s="346"/>
      <c r="P134" s="346"/>
      <c r="Q134" s="346"/>
      <c r="R134" s="346"/>
    </row>
    <row r="135" spans="1:18">
      <c r="A135" s="345"/>
      <c r="E135" s="20"/>
      <c r="G135" s="20"/>
      <c r="H135" s="20"/>
      <c r="K135" s="20"/>
      <c r="L135" s="20"/>
      <c r="M135" s="20"/>
      <c r="N135" s="346"/>
      <c r="O135" s="346"/>
      <c r="P135" s="346"/>
      <c r="Q135" s="346"/>
      <c r="R135" s="346"/>
    </row>
    <row r="136" spans="1:18">
      <c r="A136" s="345"/>
      <c r="E136" s="20"/>
      <c r="G136" s="20"/>
      <c r="H136" s="20"/>
      <c r="K136" s="20"/>
      <c r="L136" s="20"/>
      <c r="M136" s="20"/>
      <c r="N136" s="346"/>
      <c r="O136" s="346"/>
      <c r="P136" s="346"/>
      <c r="Q136" s="346"/>
      <c r="R136" s="346"/>
    </row>
    <row r="137" spans="1:18">
      <c r="A137" s="345"/>
      <c r="E137" s="20"/>
      <c r="G137" s="20"/>
      <c r="H137" s="20"/>
      <c r="K137" s="20"/>
      <c r="L137" s="20"/>
      <c r="M137" s="20"/>
      <c r="N137" s="346"/>
      <c r="O137" s="346"/>
      <c r="P137" s="346"/>
      <c r="Q137" s="346"/>
      <c r="R137" s="346"/>
    </row>
    <row r="138" spans="1:18">
      <c r="A138" s="345"/>
      <c r="E138" s="20"/>
      <c r="G138" s="20"/>
      <c r="H138" s="20"/>
      <c r="K138" s="20"/>
      <c r="L138" s="20"/>
      <c r="M138" s="20"/>
      <c r="N138" s="346"/>
      <c r="O138" s="346"/>
      <c r="P138" s="346"/>
      <c r="Q138" s="346"/>
      <c r="R138" s="346"/>
    </row>
    <row r="139" spans="1:18">
      <c r="A139" s="345"/>
      <c r="E139" s="20"/>
      <c r="G139" s="20"/>
      <c r="H139" s="20"/>
      <c r="K139" s="20"/>
      <c r="L139" s="20"/>
      <c r="M139" s="20"/>
      <c r="N139" s="346"/>
      <c r="O139" s="346"/>
      <c r="P139" s="346"/>
      <c r="Q139" s="346"/>
      <c r="R139" s="346"/>
    </row>
    <row r="140" spans="1:18">
      <c r="A140" s="345"/>
      <c r="E140" s="20"/>
      <c r="G140" s="20"/>
      <c r="H140" s="20"/>
      <c r="K140" s="20"/>
      <c r="L140" s="20"/>
      <c r="M140" s="20"/>
      <c r="N140" s="346"/>
      <c r="O140" s="346"/>
      <c r="P140" s="346"/>
      <c r="Q140" s="346"/>
      <c r="R140" s="346"/>
    </row>
    <row r="141" spans="1:18">
      <c r="A141" s="345"/>
      <c r="E141" s="20"/>
      <c r="G141" s="20"/>
      <c r="H141" s="20"/>
      <c r="K141" s="20"/>
      <c r="L141" s="20"/>
      <c r="M141" s="20"/>
      <c r="N141" s="346"/>
      <c r="O141" s="346"/>
      <c r="P141" s="346"/>
      <c r="Q141" s="346"/>
      <c r="R141" s="346"/>
    </row>
    <row r="142" spans="1:18">
      <c r="A142" s="345"/>
      <c r="E142" s="20"/>
      <c r="G142" s="20"/>
      <c r="H142" s="20"/>
      <c r="K142" s="20"/>
      <c r="L142" s="20"/>
      <c r="M142" s="20"/>
      <c r="N142" s="346"/>
      <c r="O142" s="346"/>
      <c r="P142" s="346"/>
      <c r="Q142" s="346"/>
      <c r="R142" s="346"/>
    </row>
    <row r="143" spans="1:18">
      <c r="A143" s="345"/>
      <c r="E143" s="20"/>
      <c r="G143" s="20"/>
      <c r="H143" s="20"/>
      <c r="K143" s="20"/>
      <c r="L143" s="20"/>
      <c r="M143" s="20"/>
      <c r="N143" s="346"/>
      <c r="O143" s="346"/>
      <c r="P143" s="346"/>
      <c r="Q143" s="346"/>
      <c r="R143" s="346"/>
    </row>
    <row r="144" spans="1:18">
      <c r="A144" s="345"/>
      <c r="E144" s="20"/>
      <c r="G144" s="20"/>
      <c r="H144" s="20"/>
      <c r="K144" s="20"/>
      <c r="L144" s="20"/>
      <c r="M144" s="20"/>
      <c r="N144" s="346"/>
      <c r="O144" s="346"/>
      <c r="P144" s="346"/>
      <c r="Q144" s="346"/>
      <c r="R144" s="346"/>
    </row>
    <row r="145" spans="1:18">
      <c r="A145" s="345"/>
      <c r="E145" s="20"/>
      <c r="G145" s="20"/>
      <c r="H145" s="20"/>
      <c r="K145" s="20"/>
      <c r="L145" s="20"/>
      <c r="M145" s="20"/>
      <c r="N145" s="346"/>
      <c r="O145" s="346"/>
      <c r="P145" s="346"/>
      <c r="Q145" s="346"/>
      <c r="R145" s="346"/>
    </row>
    <row r="146" spans="1:18">
      <c r="A146" s="345"/>
      <c r="E146" s="20"/>
      <c r="G146" s="20"/>
      <c r="H146" s="20"/>
      <c r="K146" s="20"/>
      <c r="L146" s="20"/>
      <c r="M146" s="20"/>
      <c r="N146" s="346"/>
      <c r="O146" s="346"/>
      <c r="P146" s="346"/>
      <c r="Q146" s="346"/>
      <c r="R146" s="346"/>
    </row>
    <row r="147" spans="1:18">
      <c r="A147" s="345"/>
      <c r="E147" s="20"/>
      <c r="G147" s="20"/>
      <c r="H147" s="20"/>
      <c r="K147" s="20"/>
      <c r="L147" s="20"/>
      <c r="M147" s="20"/>
      <c r="N147" s="346"/>
      <c r="O147" s="346"/>
      <c r="P147" s="346"/>
      <c r="Q147" s="346"/>
      <c r="R147" s="346"/>
    </row>
    <row r="148" spans="1:18">
      <c r="A148" s="345"/>
      <c r="E148" s="20"/>
      <c r="G148" s="20"/>
      <c r="H148" s="20"/>
      <c r="K148" s="20"/>
      <c r="L148" s="20"/>
      <c r="M148" s="20"/>
      <c r="N148" s="346"/>
      <c r="O148" s="346"/>
      <c r="P148" s="346"/>
      <c r="Q148" s="346"/>
      <c r="R148" s="346"/>
    </row>
    <row r="149" spans="1:18">
      <c r="A149" s="345"/>
      <c r="E149" s="20"/>
      <c r="G149" s="20"/>
      <c r="H149" s="20"/>
      <c r="K149" s="20"/>
      <c r="L149" s="20"/>
      <c r="M149" s="20"/>
      <c r="N149" s="346"/>
      <c r="O149" s="346"/>
      <c r="P149" s="346"/>
      <c r="Q149" s="346"/>
      <c r="R149" s="346"/>
    </row>
    <row r="150" spans="1:18">
      <c r="A150" s="345"/>
      <c r="E150" s="20"/>
      <c r="G150" s="20"/>
      <c r="H150" s="20"/>
      <c r="K150" s="20"/>
      <c r="L150" s="20"/>
      <c r="M150" s="20"/>
      <c r="N150" s="346"/>
      <c r="O150" s="346"/>
      <c r="P150" s="346"/>
      <c r="Q150" s="346"/>
      <c r="R150" s="346"/>
    </row>
    <row r="151" spans="1:18">
      <c r="A151" s="345"/>
      <c r="E151" s="20"/>
      <c r="G151" s="20"/>
      <c r="H151" s="20"/>
      <c r="K151" s="20"/>
      <c r="L151" s="20"/>
      <c r="M151" s="20"/>
      <c r="N151" s="346"/>
      <c r="O151" s="346"/>
      <c r="P151" s="346"/>
      <c r="Q151" s="346"/>
      <c r="R151" s="346"/>
    </row>
    <row r="152" spans="1:18">
      <c r="A152" s="345"/>
      <c r="E152" s="20"/>
      <c r="G152" s="20"/>
      <c r="H152" s="20"/>
      <c r="K152" s="20"/>
      <c r="L152" s="20"/>
      <c r="M152" s="20"/>
      <c r="N152" s="346"/>
      <c r="O152" s="346"/>
      <c r="P152" s="346"/>
      <c r="Q152" s="346"/>
      <c r="R152" s="346"/>
    </row>
    <row r="153" spans="1:18">
      <c r="A153" s="345"/>
      <c r="E153" s="20"/>
      <c r="G153" s="20"/>
      <c r="H153" s="20"/>
      <c r="K153" s="20"/>
      <c r="L153" s="20"/>
      <c r="M153" s="20"/>
      <c r="N153" s="346"/>
      <c r="O153" s="346"/>
      <c r="P153" s="346"/>
      <c r="Q153" s="346"/>
      <c r="R153" s="346"/>
    </row>
    <row r="154" spans="1:18">
      <c r="A154" s="345"/>
      <c r="E154" s="20"/>
      <c r="G154" s="20"/>
      <c r="H154" s="20"/>
      <c r="K154" s="20"/>
      <c r="L154" s="20"/>
      <c r="M154" s="20"/>
      <c r="N154" s="346"/>
      <c r="O154" s="346"/>
      <c r="P154" s="346"/>
      <c r="Q154" s="346"/>
      <c r="R154" s="346"/>
    </row>
    <row r="155" spans="1:18">
      <c r="A155" s="345"/>
      <c r="E155" s="20"/>
      <c r="G155" s="20"/>
      <c r="H155" s="20"/>
      <c r="K155" s="20"/>
      <c r="L155" s="20"/>
      <c r="M155" s="20"/>
      <c r="N155" s="346"/>
      <c r="O155" s="346"/>
      <c r="P155" s="346"/>
      <c r="Q155" s="346"/>
      <c r="R155" s="346"/>
    </row>
    <row r="156" spans="1:18">
      <c r="A156" s="345"/>
      <c r="E156" s="20"/>
      <c r="G156" s="20"/>
      <c r="H156" s="20"/>
      <c r="K156" s="20"/>
      <c r="L156" s="20"/>
      <c r="M156" s="20"/>
      <c r="N156" s="346"/>
      <c r="O156" s="346"/>
      <c r="P156" s="346"/>
      <c r="Q156" s="346"/>
      <c r="R156" s="346"/>
    </row>
    <row r="157" spans="1:18">
      <c r="A157" s="345"/>
      <c r="E157" s="20"/>
      <c r="G157" s="20"/>
      <c r="H157" s="20"/>
      <c r="K157" s="20"/>
      <c r="L157" s="20"/>
      <c r="M157" s="20"/>
      <c r="N157" s="346"/>
      <c r="O157" s="346"/>
      <c r="P157" s="346"/>
      <c r="Q157" s="346"/>
      <c r="R157" s="346"/>
    </row>
    <row r="158" spans="1:18">
      <c r="A158" s="345"/>
      <c r="E158" s="20"/>
      <c r="G158" s="20"/>
      <c r="H158" s="20"/>
      <c r="K158" s="20"/>
      <c r="L158" s="20"/>
      <c r="M158" s="20"/>
      <c r="N158" s="346"/>
      <c r="O158" s="346"/>
      <c r="P158" s="346"/>
      <c r="Q158" s="346"/>
      <c r="R158" s="346"/>
    </row>
    <row r="159" spans="1:18">
      <c r="A159" s="345"/>
      <c r="E159" s="20"/>
      <c r="G159" s="20"/>
      <c r="H159" s="20"/>
      <c r="K159" s="20"/>
      <c r="L159" s="20"/>
      <c r="M159" s="20"/>
      <c r="N159" s="346"/>
      <c r="O159" s="346"/>
      <c r="P159" s="346"/>
      <c r="Q159" s="346"/>
      <c r="R159" s="346"/>
    </row>
    <row r="160" spans="1:18">
      <c r="A160" s="345"/>
      <c r="E160" s="20"/>
      <c r="G160" s="20"/>
      <c r="H160" s="20"/>
      <c r="K160" s="20"/>
      <c r="L160" s="20"/>
      <c r="M160" s="20"/>
      <c r="N160" s="346"/>
      <c r="O160" s="346"/>
      <c r="P160" s="346"/>
      <c r="Q160" s="346"/>
      <c r="R160" s="346"/>
    </row>
    <row r="161" spans="1:18">
      <c r="A161" s="345"/>
      <c r="E161" s="20"/>
      <c r="G161" s="20"/>
      <c r="H161" s="20"/>
      <c r="K161" s="20"/>
      <c r="L161" s="20"/>
      <c r="M161" s="20"/>
      <c r="N161" s="346"/>
      <c r="O161" s="346"/>
      <c r="P161" s="346"/>
      <c r="Q161" s="346"/>
      <c r="R161" s="346"/>
    </row>
    <row r="162" spans="1:18">
      <c r="A162" s="345"/>
      <c r="E162" s="20"/>
      <c r="G162" s="20"/>
      <c r="H162" s="20"/>
      <c r="K162" s="20"/>
      <c r="L162" s="20"/>
      <c r="M162" s="20"/>
      <c r="N162" s="346"/>
      <c r="O162" s="346"/>
      <c r="P162" s="346"/>
      <c r="Q162" s="346"/>
      <c r="R162" s="346"/>
    </row>
    <row r="163" spans="1:18">
      <c r="A163" s="345"/>
      <c r="E163" s="20"/>
      <c r="G163" s="20"/>
      <c r="H163" s="20"/>
      <c r="K163" s="20"/>
      <c r="L163" s="20"/>
      <c r="M163" s="20"/>
      <c r="N163" s="346"/>
      <c r="O163" s="346"/>
      <c r="P163" s="346"/>
      <c r="Q163" s="346"/>
      <c r="R163" s="346"/>
    </row>
    <row r="164" spans="1:18">
      <c r="A164" s="345"/>
      <c r="E164" s="20"/>
      <c r="G164" s="20"/>
      <c r="H164" s="20"/>
      <c r="K164" s="20"/>
      <c r="L164" s="20"/>
      <c r="M164" s="20"/>
      <c r="N164" s="346"/>
      <c r="O164" s="346"/>
      <c r="P164" s="346"/>
      <c r="Q164" s="346"/>
      <c r="R164" s="346"/>
    </row>
    <row r="165" spans="1:18">
      <c r="A165" s="345"/>
      <c r="E165" s="20"/>
      <c r="G165" s="20"/>
      <c r="H165" s="20"/>
      <c r="K165" s="20"/>
      <c r="L165" s="20"/>
      <c r="M165" s="20"/>
      <c r="N165" s="346"/>
      <c r="O165" s="346"/>
      <c r="P165" s="346"/>
      <c r="Q165" s="346"/>
      <c r="R165" s="346"/>
    </row>
    <row r="166" spans="1:18">
      <c r="A166" s="345"/>
      <c r="E166" s="20"/>
      <c r="G166" s="20"/>
      <c r="H166" s="20"/>
      <c r="K166" s="20"/>
      <c r="L166" s="20"/>
      <c r="M166" s="20"/>
      <c r="N166" s="346"/>
      <c r="O166" s="346"/>
      <c r="P166" s="346"/>
      <c r="Q166" s="346"/>
      <c r="R166" s="346"/>
    </row>
    <row r="167" spans="1:18">
      <c r="A167" s="345"/>
      <c r="E167" s="20"/>
      <c r="G167" s="20"/>
      <c r="H167" s="20"/>
      <c r="K167" s="20"/>
      <c r="L167" s="20"/>
      <c r="M167" s="20"/>
      <c r="N167" s="346"/>
      <c r="O167" s="346"/>
      <c r="P167" s="346"/>
      <c r="Q167" s="346"/>
      <c r="R167" s="346"/>
    </row>
    <row r="168" spans="1:18">
      <c r="A168" s="345"/>
      <c r="E168" s="20"/>
      <c r="G168" s="20"/>
      <c r="H168" s="20"/>
      <c r="K168" s="20"/>
      <c r="L168" s="20"/>
      <c r="M168" s="20"/>
      <c r="N168" s="346"/>
      <c r="O168" s="346"/>
      <c r="P168" s="346"/>
      <c r="Q168" s="346"/>
      <c r="R168" s="346"/>
    </row>
    <row r="169" spans="1:18">
      <c r="A169" s="345"/>
      <c r="E169" s="20"/>
      <c r="G169" s="20"/>
      <c r="H169" s="20"/>
      <c r="K169" s="20"/>
      <c r="L169" s="20"/>
      <c r="M169" s="20"/>
      <c r="N169" s="346"/>
      <c r="O169" s="346"/>
      <c r="P169" s="346"/>
      <c r="Q169" s="346"/>
      <c r="R169" s="346"/>
    </row>
    <row r="170" spans="1:18">
      <c r="A170" s="345"/>
      <c r="E170" s="20"/>
      <c r="G170" s="20"/>
      <c r="H170" s="20"/>
      <c r="K170" s="20"/>
      <c r="L170" s="20"/>
      <c r="M170" s="20"/>
      <c r="N170" s="346"/>
      <c r="O170" s="346"/>
      <c r="P170" s="346"/>
      <c r="Q170" s="346"/>
      <c r="R170" s="346"/>
    </row>
    <row r="171" spans="1:18">
      <c r="A171" s="345"/>
      <c r="E171" s="20"/>
      <c r="G171" s="20"/>
      <c r="H171" s="20"/>
      <c r="K171" s="20"/>
      <c r="L171" s="20"/>
      <c r="M171" s="20"/>
      <c r="N171" s="346"/>
      <c r="O171" s="346"/>
      <c r="P171" s="346"/>
      <c r="Q171" s="346"/>
      <c r="R171" s="346"/>
    </row>
    <row r="172" spans="1:18">
      <c r="A172" s="345"/>
      <c r="E172" s="20"/>
      <c r="G172" s="20"/>
      <c r="H172" s="20"/>
      <c r="K172" s="20"/>
      <c r="L172" s="20"/>
      <c r="M172" s="20"/>
      <c r="N172" s="346"/>
      <c r="O172" s="346"/>
      <c r="P172" s="346"/>
      <c r="Q172" s="346"/>
      <c r="R172" s="346"/>
    </row>
    <row r="173" spans="1:18">
      <c r="A173" s="345"/>
      <c r="E173" s="20"/>
      <c r="G173" s="20"/>
      <c r="H173" s="20"/>
      <c r="K173" s="20"/>
      <c r="L173" s="20"/>
      <c r="M173" s="20"/>
      <c r="N173" s="346"/>
      <c r="O173" s="346"/>
      <c r="P173" s="346"/>
      <c r="Q173" s="346"/>
      <c r="R173" s="346"/>
    </row>
    <row r="174" spans="1:18">
      <c r="A174" s="345"/>
      <c r="E174" s="20"/>
      <c r="G174" s="20"/>
      <c r="H174" s="20"/>
      <c r="K174" s="20"/>
      <c r="L174" s="20"/>
      <c r="M174" s="20"/>
      <c r="N174" s="346"/>
      <c r="O174" s="346"/>
      <c r="P174" s="346"/>
      <c r="Q174" s="346"/>
      <c r="R174" s="346"/>
    </row>
    <row r="175" spans="1:18">
      <c r="A175" s="345"/>
      <c r="E175" s="20"/>
      <c r="G175" s="20"/>
      <c r="H175" s="20"/>
      <c r="K175" s="20"/>
      <c r="L175" s="20"/>
      <c r="M175" s="20"/>
      <c r="N175" s="346"/>
      <c r="O175" s="346"/>
      <c r="P175" s="346"/>
      <c r="Q175" s="346"/>
      <c r="R175" s="346"/>
    </row>
    <row r="176" spans="1:18">
      <c r="A176" s="345"/>
      <c r="E176" s="20"/>
      <c r="G176" s="20"/>
      <c r="H176" s="20"/>
      <c r="K176" s="20"/>
      <c r="L176" s="20"/>
      <c r="M176" s="20"/>
      <c r="N176" s="346"/>
      <c r="O176" s="346"/>
      <c r="P176" s="346"/>
      <c r="Q176" s="346"/>
      <c r="R176" s="346"/>
    </row>
    <row r="177" spans="1:18">
      <c r="A177" s="345"/>
      <c r="E177" s="20"/>
      <c r="G177" s="20"/>
      <c r="H177" s="20"/>
      <c r="K177" s="20"/>
      <c r="L177" s="20"/>
      <c r="M177" s="20"/>
      <c r="N177" s="346"/>
      <c r="O177" s="346"/>
      <c r="P177" s="346"/>
      <c r="Q177" s="346"/>
      <c r="R177" s="346"/>
    </row>
    <row r="178" spans="1:18">
      <c r="A178" s="345"/>
      <c r="E178" s="20"/>
      <c r="G178" s="20"/>
      <c r="H178" s="20"/>
      <c r="K178" s="20"/>
      <c r="L178" s="20"/>
      <c r="M178" s="20"/>
      <c r="N178" s="346"/>
      <c r="O178" s="346"/>
      <c r="P178" s="346"/>
      <c r="Q178" s="346"/>
      <c r="R178" s="346"/>
    </row>
    <row r="179" spans="1:18">
      <c r="A179" s="345"/>
      <c r="E179" s="20"/>
      <c r="G179" s="20"/>
      <c r="H179" s="20"/>
      <c r="K179" s="20"/>
      <c r="L179" s="20"/>
      <c r="M179" s="20"/>
      <c r="N179" s="346"/>
      <c r="O179" s="346"/>
      <c r="P179" s="346"/>
      <c r="Q179" s="346"/>
      <c r="R179" s="346"/>
    </row>
    <row r="180" spans="1:18">
      <c r="A180" s="345"/>
      <c r="E180" s="20"/>
      <c r="G180" s="20"/>
      <c r="H180" s="20"/>
      <c r="K180" s="20"/>
      <c r="L180" s="20"/>
      <c r="M180" s="20"/>
      <c r="N180" s="346"/>
      <c r="O180" s="346"/>
      <c r="P180" s="346"/>
      <c r="Q180" s="346"/>
      <c r="R180" s="346"/>
    </row>
    <row r="181" spans="1:18">
      <c r="A181" s="345"/>
      <c r="E181" s="20"/>
      <c r="G181" s="20"/>
      <c r="H181" s="20"/>
      <c r="K181" s="20"/>
      <c r="L181" s="20"/>
      <c r="M181" s="20"/>
      <c r="N181" s="346"/>
      <c r="O181" s="346"/>
      <c r="P181" s="346"/>
      <c r="Q181" s="346"/>
      <c r="R181" s="346"/>
    </row>
    <row r="182" spans="1:18">
      <c r="A182" s="345"/>
      <c r="E182" s="20"/>
      <c r="G182" s="20"/>
      <c r="H182" s="20"/>
      <c r="K182" s="20"/>
      <c r="L182" s="20"/>
      <c r="M182" s="20"/>
      <c r="N182" s="346"/>
      <c r="O182" s="346"/>
      <c r="P182" s="346"/>
      <c r="Q182" s="346"/>
      <c r="R182" s="346"/>
    </row>
    <row r="183" spans="1:18">
      <c r="A183" s="345"/>
      <c r="E183" s="20"/>
      <c r="G183" s="20"/>
      <c r="H183" s="20"/>
      <c r="K183" s="20"/>
      <c r="L183" s="20"/>
      <c r="M183" s="20"/>
      <c r="N183" s="346"/>
      <c r="O183" s="346"/>
      <c r="P183" s="346"/>
      <c r="Q183" s="346"/>
      <c r="R183" s="346"/>
    </row>
    <row r="184" spans="1:18">
      <c r="A184" s="345"/>
      <c r="E184" s="20"/>
      <c r="G184" s="20"/>
      <c r="H184" s="20"/>
      <c r="K184" s="20"/>
      <c r="L184" s="20"/>
      <c r="M184" s="20"/>
      <c r="N184" s="346"/>
      <c r="O184" s="346"/>
      <c r="P184" s="346"/>
      <c r="Q184" s="346"/>
      <c r="R184" s="346"/>
    </row>
    <row r="185" spans="1:18">
      <c r="A185" s="345"/>
      <c r="E185" s="20"/>
      <c r="G185" s="20"/>
      <c r="H185" s="20"/>
      <c r="K185" s="20"/>
      <c r="L185" s="20"/>
      <c r="M185" s="20"/>
      <c r="N185" s="346"/>
      <c r="O185" s="346"/>
      <c r="P185" s="346"/>
      <c r="Q185" s="346"/>
      <c r="R185" s="346"/>
    </row>
    <row r="186" spans="1:18">
      <c r="A186" s="345"/>
      <c r="E186" s="20"/>
      <c r="G186" s="20"/>
      <c r="H186" s="20"/>
      <c r="K186" s="20"/>
      <c r="L186" s="20"/>
      <c r="M186" s="20"/>
      <c r="N186" s="346"/>
      <c r="O186" s="346"/>
      <c r="P186" s="346"/>
      <c r="Q186" s="346"/>
      <c r="R186" s="346"/>
    </row>
    <row r="187" spans="1:18">
      <c r="A187" s="345"/>
      <c r="E187" s="20"/>
      <c r="G187" s="20"/>
      <c r="H187" s="20"/>
      <c r="K187" s="20"/>
      <c r="L187" s="20"/>
      <c r="M187" s="20"/>
      <c r="N187" s="346"/>
      <c r="O187" s="346"/>
      <c r="P187" s="346"/>
      <c r="Q187" s="346"/>
      <c r="R187" s="346"/>
    </row>
    <row r="188" spans="1:18">
      <c r="A188" s="345"/>
      <c r="E188" s="20"/>
      <c r="G188" s="20"/>
      <c r="H188" s="20"/>
      <c r="K188" s="20"/>
      <c r="L188" s="20"/>
      <c r="M188" s="20"/>
      <c r="N188" s="346"/>
      <c r="O188" s="346"/>
      <c r="P188" s="346"/>
      <c r="Q188" s="346"/>
      <c r="R188" s="346"/>
    </row>
    <row r="189" spans="1:18">
      <c r="A189" s="345"/>
      <c r="E189" s="20"/>
      <c r="G189" s="20"/>
      <c r="H189" s="20"/>
      <c r="K189" s="20"/>
      <c r="L189" s="20"/>
      <c r="M189" s="20"/>
      <c r="N189" s="346"/>
      <c r="O189" s="346"/>
      <c r="P189" s="346"/>
      <c r="Q189" s="346"/>
      <c r="R189" s="346"/>
    </row>
    <row r="190" spans="1:18">
      <c r="A190" s="345"/>
      <c r="E190" s="20"/>
      <c r="G190" s="20"/>
      <c r="H190" s="20"/>
      <c r="K190" s="20"/>
      <c r="L190" s="20"/>
      <c r="M190" s="20"/>
      <c r="N190" s="346"/>
      <c r="O190" s="346"/>
      <c r="P190" s="346"/>
      <c r="Q190" s="346"/>
      <c r="R190" s="346"/>
    </row>
    <row r="191" spans="1:18">
      <c r="A191" s="345"/>
      <c r="E191" s="20"/>
      <c r="G191" s="20"/>
      <c r="H191" s="20"/>
      <c r="K191" s="20"/>
      <c r="L191" s="20"/>
      <c r="M191" s="20"/>
      <c r="N191" s="346"/>
      <c r="O191" s="346"/>
      <c r="P191" s="346"/>
      <c r="Q191" s="346"/>
      <c r="R191" s="346"/>
    </row>
    <row r="192" spans="1:18">
      <c r="A192" s="345"/>
      <c r="E192" s="20"/>
      <c r="G192" s="20"/>
      <c r="H192" s="20"/>
      <c r="K192" s="20"/>
      <c r="L192" s="20"/>
      <c r="M192" s="20"/>
      <c r="N192" s="346"/>
      <c r="O192" s="346"/>
      <c r="P192" s="346"/>
      <c r="Q192" s="346"/>
      <c r="R192" s="346"/>
    </row>
    <row r="193" spans="1:18">
      <c r="A193" s="345"/>
      <c r="E193" s="20"/>
      <c r="G193" s="20"/>
      <c r="H193" s="20"/>
      <c r="K193" s="20"/>
      <c r="L193" s="20"/>
      <c r="M193" s="20"/>
      <c r="N193" s="346"/>
      <c r="O193" s="346"/>
      <c r="P193" s="346"/>
      <c r="Q193" s="346"/>
      <c r="R193" s="346"/>
    </row>
    <row r="194" spans="1:18">
      <c r="A194" s="345"/>
      <c r="E194" s="20"/>
      <c r="G194" s="20"/>
      <c r="H194" s="20"/>
      <c r="K194" s="20"/>
      <c r="L194" s="20"/>
      <c r="M194" s="20"/>
      <c r="N194" s="346"/>
      <c r="O194" s="346"/>
      <c r="P194" s="346"/>
      <c r="Q194" s="346"/>
      <c r="R194" s="346"/>
    </row>
    <row r="195" spans="1:18">
      <c r="A195" s="345"/>
      <c r="E195" s="20"/>
      <c r="G195" s="20"/>
      <c r="H195" s="20"/>
      <c r="K195" s="20"/>
      <c r="L195" s="20"/>
      <c r="M195" s="20"/>
      <c r="N195" s="346"/>
      <c r="O195" s="346"/>
      <c r="P195" s="346"/>
      <c r="Q195" s="346"/>
      <c r="R195" s="346"/>
    </row>
    <row r="196" spans="1:18">
      <c r="A196" s="345"/>
      <c r="E196" s="20"/>
      <c r="G196" s="20"/>
      <c r="H196" s="20"/>
      <c r="K196" s="20"/>
      <c r="L196" s="20"/>
      <c r="M196" s="20"/>
      <c r="N196" s="346"/>
      <c r="O196" s="346"/>
      <c r="P196" s="346"/>
      <c r="Q196" s="346"/>
      <c r="R196" s="346"/>
    </row>
    <row r="197" spans="1:18">
      <c r="A197" s="345"/>
      <c r="E197" s="20"/>
      <c r="G197" s="20"/>
      <c r="H197" s="20"/>
      <c r="K197" s="20"/>
      <c r="L197" s="20"/>
      <c r="M197" s="20"/>
      <c r="N197" s="346"/>
      <c r="O197" s="346"/>
      <c r="P197" s="346"/>
      <c r="Q197" s="346"/>
      <c r="R197" s="346"/>
    </row>
    <row r="198" spans="1:18">
      <c r="A198" s="345"/>
      <c r="E198" s="20"/>
      <c r="G198" s="20"/>
      <c r="H198" s="20"/>
      <c r="K198" s="20"/>
      <c r="L198" s="20"/>
      <c r="M198" s="20"/>
      <c r="N198" s="346"/>
      <c r="O198" s="346"/>
      <c r="P198" s="346"/>
      <c r="Q198" s="346"/>
      <c r="R198" s="346"/>
    </row>
    <row r="199" spans="1:18">
      <c r="A199" s="345"/>
      <c r="E199" s="20"/>
      <c r="G199" s="20"/>
      <c r="H199" s="20"/>
      <c r="K199" s="20"/>
      <c r="L199" s="20"/>
      <c r="M199" s="20"/>
      <c r="N199" s="346"/>
      <c r="O199" s="346"/>
      <c r="P199" s="346"/>
      <c r="Q199" s="346"/>
      <c r="R199" s="346"/>
    </row>
    <row r="200" spans="1:18">
      <c r="A200" s="345"/>
      <c r="E200" s="20"/>
      <c r="G200" s="20"/>
      <c r="H200" s="20"/>
      <c r="K200" s="20"/>
      <c r="L200" s="20"/>
      <c r="M200" s="20"/>
      <c r="N200" s="346"/>
      <c r="O200" s="346"/>
      <c r="P200" s="346"/>
      <c r="Q200" s="346"/>
      <c r="R200" s="346"/>
    </row>
    <row r="201" spans="1:18">
      <c r="A201" s="345"/>
      <c r="E201" s="20"/>
      <c r="G201" s="20"/>
      <c r="H201" s="20"/>
      <c r="K201" s="20"/>
      <c r="L201" s="20"/>
      <c r="M201" s="20"/>
      <c r="N201" s="346"/>
      <c r="O201" s="346"/>
      <c r="P201" s="346"/>
      <c r="Q201" s="346"/>
      <c r="R201" s="346"/>
    </row>
    <row r="202" spans="1:18">
      <c r="A202" s="345"/>
      <c r="E202" s="20"/>
      <c r="G202" s="20"/>
      <c r="H202" s="20"/>
      <c r="K202" s="20"/>
      <c r="L202" s="20"/>
      <c r="M202" s="20"/>
      <c r="N202" s="346"/>
      <c r="O202" s="346"/>
      <c r="P202" s="346"/>
      <c r="Q202" s="346"/>
      <c r="R202" s="346"/>
    </row>
    <row r="203" spans="1:18">
      <c r="A203" s="345"/>
      <c r="E203" s="20"/>
      <c r="G203" s="20"/>
      <c r="H203" s="20"/>
      <c r="K203" s="20"/>
      <c r="L203" s="20"/>
      <c r="M203" s="20"/>
      <c r="N203" s="346"/>
      <c r="O203" s="346"/>
      <c r="P203" s="346"/>
      <c r="Q203" s="346"/>
      <c r="R203" s="346"/>
    </row>
    <row r="204" spans="1:18">
      <c r="A204" s="345"/>
      <c r="E204" s="20"/>
      <c r="G204" s="20"/>
      <c r="H204" s="20"/>
      <c r="K204" s="20"/>
      <c r="L204" s="20"/>
      <c r="M204" s="20"/>
      <c r="N204" s="346"/>
      <c r="O204" s="346"/>
      <c r="P204" s="346"/>
      <c r="Q204" s="346"/>
      <c r="R204" s="346"/>
    </row>
    <row r="205" spans="1:18">
      <c r="A205" s="345"/>
      <c r="E205" s="20"/>
      <c r="G205" s="20"/>
      <c r="H205" s="20"/>
      <c r="K205" s="20"/>
      <c r="L205" s="20"/>
      <c r="M205" s="20"/>
      <c r="N205" s="346"/>
      <c r="O205" s="346"/>
      <c r="P205" s="346"/>
      <c r="Q205" s="346"/>
      <c r="R205" s="346"/>
    </row>
    <row r="206" spans="1:18">
      <c r="A206" s="345"/>
      <c r="E206" s="20"/>
      <c r="G206" s="20"/>
      <c r="H206" s="20"/>
      <c r="K206" s="20"/>
      <c r="L206" s="20"/>
      <c r="M206" s="20"/>
      <c r="N206" s="346"/>
      <c r="O206" s="346"/>
      <c r="P206" s="346"/>
      <c r="Q206" s="346"/>
      <c r="R206" s="346"/>
    </row>
    <row r="207" spans="1:18">
      <c r="A207" s="345"/>
      <c r="E207" s="20"/>
      <c r="G207" s="20"/>
      <c r="H207" s="20"/>
      <c r="K207" s="20"/>
      <c r="L207" s="20"/>
      <c r="M207" s="20"/>
      <c r="N207" s="346"/>
      <c r="O207" s="346"/>
      <c r="P207" s="346"/>
      <c r="Q207" s="346"/>
      <c r="R207" s="346"/>
    </row>
    <row r="208" spans="1:18">
      <c r="A208" s="345"/>
      <c r="E208" s="20"/>
      <c r="G208" s="20"/>
      <c r="H208" s="20"/>
      <c r="K208" s="20"/>
      <c r="L208" s="20"/>
      <c r="M208" s="20"/>
      <c r="N208" s="346"/>
      <c r="O208" s="346"/>
      <c r="P208" s="346"/>
      <c r="Q208" s="346"/>
      <c r="R208" s="346"/>
    </row>
    <row r="209" spans="1:18">
      <c r="A209" s="345"/>
      <c r="E209" s="20"/>
      <c r="G209" s="20"/>
      <c r="H209" s="20"/>
      <c r="K209" s="20"/>
      <c r="L209" s="20"/>
      <c r="M209" s="20"/>
      <c r="N209" s="346"/>
      <c r="O209" s="346"/>
      <c r="P209" s="346"/>
      <c r="Q209" s="346"/>
      <c r="R209" s="346"/>
    </row>
    <row r="210" spans="1:18">
      <c r="A210" s="345"/>
      <c r="E210" s="20"/>
      <c r="G210" s="20"/>
      <c r="H210" s="20"/>
      <c r="K210" s="20"/>
      <c r="L210" s="20"/>
      <c r="M210" s="20"/>
      <c r="N210" s="346"/>
      <c r="O210" s="346"/>
      <c r="P210" s="346"/>
      <c r="Q210" s="346"/>
      <c r="R210" s="346"/>
    </row>
    <row r="211" spans="1:18">
      <c r="A211" s="345"/>
      <c r="E211" s="20"/>
      <c r="G211" s="20"/>
      <c r="H211" s="20"/>
      <c r="K211" s="20"/>
      <c r="L211" s="20"/>
      <c r="M211" s="20"/>
      <c r="N211" s="346"/>
      <c r="O211" s="346"/>
      <c r="P211" s="346"/>
      <c r="Q211" s="346"/>
      <c r="R211" s="346"/>
    </row>
    <row r="212" spans="1:18">
      <c r="A212" s="345"/>
      <c r="E212" s="20"/>
      <c r="G212" s="20"/>
      <c r="H212" s="20"/>
      <c r="K212" s="20"/>
      <c r="L212" s="20"/>
      <c r="M212" s="20"/>
      <c r="N212" s="346"/>
      <c r="O212" s="346"/>
      <c r="P212" s="346"/>
      <c r="Q212" s="346"/>
      <c r="R212" s="346"/>
    </row>
    <row r="213" spans="1:18">
      <c r="A213" s="345"/>
      <c r="E213" s="20"/>
      <c r="G213" s="20"/>
      <c r="H213" s="20"/>
      <c r="K213" s="20"/>
      <c r="L213" s="20"/>
      <c r="M213" s="20"/>
      <c r="N213" s="346"/>
      <c r="O213" s="346"/>
      <c r="P213" s="346"/>
      <c r="Q213" s="346"/>
      <c r="R213" s="346"/>
    </row>
    <row r="214" spans="1:18">
      <c r="A214" s="345"/>
      <c r="E214" s="20"/>
      <c r="G214" s="20"/>
      <c r="H214" s="20"/>
      <c r="K214" s="20"/>
      <c r="L214" s="20"/>
      <c r="M214" s="20"/>
      <c r="N214" s="346"/>
      <c r="O214" s="346"/>
      <c r="P214" s="346"/>
      <c r="Q214" s="346"/>
      <c r="R214" s="346"/>
    </row>
    <row r="215" spans="1:18">
      <c r="A215" s="345"/>
      <c r="E215" s="20"/>
      <c r="G215" s="20"/>
      <c r="H215" s="20"/>
      <c r="K215" s="20"/>
      <c r="L215" s="20"/>
      <c r="M215" s="20"/>
      <c r="N215" s="346"/>
      <c r="O215" s="346"/>
      <c r="P215" s="346"/>
      <c r="Q215" s="346"/>
      <c r="R215" s="346"/>
    </row>
    <row r="216" spans="1:18">
      <c r="A216" s="345"/>
      <c r="E216" s="20"/>
      <c r="G216" s="20"/>
      <c r="H216" s="20"/>
      <c r="K216" s="20"/>
      <c r="L216" s="20"/>
      <c r="M216" s="20"/>
      <c r="N216" s="346"/>
      <c r="O216" s="346"/>
      <c r="P216" s="346"/>
      <c r="Q216" s="346"/>
      <c r="R216" s="346"/>
    </row>
    <row r="217" spans="1:18">
      <c r="A217" s="345"/>
      <c r="E217" s="20"/>
      <c r="G217" s="20"/>
      <c r="H217" s="20"/>
      <c r="K217" s="20"/>
      <c r="L217" s="20"/>
      <c r="M217" s="20"/>
      <c r="N217" s="346"/>
      <c r="O217" s="346"/>
      <c r="P217" s="346"/>
      <c r="Q217" s="346"/>
      <c r="R217" s="346"/>
    </row>
    <row r="218" spans="1:18">
      <c r="A218" s="345"/>
      <c r="E218" s="20"/>
      <c r="G218" s="20"/>
      <c r="H218" s="20"/>
      <c r="K218" s="20"/>
      <c r="L218" s="20"/>
      <c r="M218" s="20"/>
      <c r="N218" s="346"/>
      <c r="O218" s="346"/>
      <c r="P218" s="346"/>
      <c r="Q218" s="346"/>
      <c r="R218" s="346"/>
    </row>
    <row r="219" spans="1:18">
      <c r="A219" s="345"/>
      <c r="E219" s="20"/>
      <c r="G219" s="20"/>
      <c r="H219" s="20"/>
      <c r="K219" s="20"/>
      <c r="L219" s="20"/>
      <c r="M219" s="20"/>
      <c r="N219" s="346"/>
      <c r="O219" s="346"/>
      <c r="P219" s="346"/>
      <c r="Q219" s="346"/>
      <c r="R219" s="346"/>
    </row>
    <row r="220" spans="1:18">
      <c r="A220" s="345"/>
      <c r="E220" s="20"/>
      <c r="G220" s="20"/>
      <c r="H220" s="20"/>
      <c r="K220" s="20"/>
      <c r="L220" s="20"/>
      <c r="M220" s="20"/>
      <c r="N220" s="346"/>
      <c r="O220" s="346"/>
      <c r="P220" s="346"/>
      <c r="Q220" s="346"/>
      <c r="R220" s="346"/>
    </row>
    <row r="221" spans="1:18">
      <c r="A221" s="345"/>
      <c r="E221" s="20"/>
      <c r="G221" s="20"/>
      <c r="H221" s="20"/>
      <c r="K221" s="20"/>
      <c r="L221" s="20"/>
      <c r="M221" s="20"/>
      <c r="N221" s="346"/>
      <c r="O221" s="346"/>
      <c r="P221" s="346"/>
      <c r="Q221" s="346"/>
      <c r="R221" s="346"/>
    </row>
    <row r="222" spans="1:18">
      <c r="A222" s="345"/>
      <c r="E222" s="20"/>
      <c r="G222" s="20"/>
      <c r="H222" s="20"/>
      <c r="K222" s="20"/>
      <c r="L222" s="20"/>
      <c r="M222" s="20"/>
      <c r="N222" s="346"/>
      <c r="O222" s="346"/>
      <c r="P222" s="346"/>
      <c r="Q222" s="346"/>
      <c r="R222" s="346"/>
    </row>
    <row r="223" spans="1:18">
      <c r="A223" s="345"/>
      <c r="E223" s="20"/>
      <c r="G223" s="20"/>
      <c r="H223" s="20"/>
      <c r="K223" s="20"/>
      <c r="L223" s="20"/>
      <c r="M223" s="20"/>
      <c r="N223" s="346"/>
      <c r="O223" s="346"/>
      <c r="P223" s="346"/>
      <c r="Q223" s="346"/>
      <c r="R223" s="346"/>
    </row>
    <row r="224" spans="1:18">
      <c r="A224" s="345"/>
      <c r="E224" s="20"/>
      <c r="G224" s="20"/>
      <c r="H224" s="20"/>
      <c r="K224" s="20"/>
      <c r="L224" s="20"/>
      <c r="M224" s="20"/>
      <c r="N224" s="346"/>
      <c r="O224" s="346"/>
      <c r="P224" s="346"/>
      <c r="Q224" s="346"/>
      <c r="R224" s="346"/>
    </row>
    <row r="225" spans="1:18">
      <c r="A225" s="345"/>
      <c r="E225" s="20"/>
      <c r="G225" s="20"/>
      <c r="H225" s="20"/>
      <c r="K225" s="20"/>
      <c r="L225" s="20"/>
      <c r="M225" s="20"/>
      <c r="N225" s="346"/>
      <c r="O225" s="346"/>
      <c r="P225" s="346"/>
      <c r="Q225" s="346"/>
      <c r="R225" s="346"/>
    </row>
    <row r="226" spans="1:18">
      <c r="A226" s="345"/>
      <c r="E226" s="20"/>
      <c r="G226" s="20"/>
      <c r="H226" s="20"/>
      <c r="K226" s="20"/>
      <c r="L226" s="20"/>
      <c r="M226" s="20"/>
      <c r="N226" s="346"/>
      <c r="O226" s="346"/>
      <c r="P226" s="346"/>
      <c r="Q226" s="346"/>
      <c r="R226" s="346"/>
    </row>
    <row r="227" spans="1:18">
      <c r="A227" s="345"/>
      <c r="E227" s="20"/>
      <c r="G227" s="20"/>
      <c r="H227" s="20"/>
      <c r="K227" s="20"/>
      <c r="L227" s="20"/>
      <c r="M227" s="20"/>
      <c r="N227" s="346"/>
      <c r="O227" s="346"/>
      <c r="P227" s="346"/>
      <c r="Q227" s="346"/>
      <c r="R227" s="346"/>
    </row>
    <row r="228" spans="1:18">
      <c r="A228" s="345"/>
      <c r="E228" s="20"/>
      <c r="G228" s="20"/>
      <c r="H228" s="20"/>
      <c r="K228" s="20"/>
      <c r="L228" s="20"/>
      <c r="M228" s="20"/>
      <c r="N228" s="346"/>
      <c r="O228" s="346"/>
      <c r="P228" s="346"/>
      <c r="Q228" s="346"/>
      <c r="R228" s="346"/>
    </row>
    <row r="229" spans="1:18">
      <c r="A229" s="345"/>
      <c r="E229" s="20"/>
      <c r="G229" s="20"/>
      <c r="H229" s="20"/>
      <c r="K229" s="20"/>
      <c r="L229" s="20"/>
      <c r="M229" s="20"/>
      <c r="N229" s="346"/>
      <c r="O229" s="346"/>
      <c r="P229" s="346"/>
      <c r="Q229" s="346"/>
      <c r="R229" s="346"/>
    </row>
    <row r="230" spans="1:18">
      <c r="A230" s="345"/>
      <c r="E230" s="20"/>
      <c r="G230" s="20"/>
      <c r="H230" s="20"/>
      <c r="K230" s="20"/>
      <c r="L230" s="20"/>
      <c r="M230" s="20"/>
      <c r="N230" s="346"/>
      <c r="O230" s="346"/>
      <c r="P230" s="346"/>
      <c r="Q230" s="346"/>
      <c r="R230" s="346"/>
    </row>
    <row r="231" spans="1:18">
      <c r="A231" s="345"/>
      <c r="E231" s="20"/>
      <c r="G231" s="20"/>
      <c r="H231" s="20"/>
      <c r="K231" s="20"/>
      <c r="L231" s="20"/>
      <c r="M231" s="20"/>
      <c r="N231" s="346"/>
      <c r="O231" s="346"/>
      <c r="P231" s="346"/>
      <c r="Q231" s="346"/>
      <c r="R231" s="346"/>
    </row>
    <row r="232" spans="1:18">
      <c r="A232" s="345"/>
      <c r="E232" s="20"/>
      <c r="G232" s="20"/>
      <c r="H232" s="20"/>
      <c r="K232" s="20"/>
      <c r="L232" s="20"/>
      <c r="M232" s="20"/>
      <c r="N232" s="346"/>
      <c r="O232" s="346"/>
      <c r="P232" s="346"/>
      <c r="Q232" s="346"/>
      <c r="R232" s="346"/>
    </row>
    <row r="233" spans="1:18">
      <c r="A233" s="345"/>
      <c r="E233" s="20"/>
      <c r="G233" s="20"/>
      <c r="H233" s="20"/>
      <c r="K233" s="20"/>
      <c r="L233" s="20"/>
      <c r="M233" s="20"/>
      <c r="N233" s="346"/>
      <c r="O233" s="346"/>
      <c r="P233" s="346"/>
      <c r="Q233" s="346"/>
      <c r="R233" s="346"/>
    </row>
    <row r="234" spans="1:18">
      <c r="A234" s="345"/>
      <c r="E234" s="20"/>
      <c r="G234" s="20"/>
      <c r="H234" s="20"/>
      <c r="K234" s="20"/>
      <c r="L234" s="20"/>
      <c r="M234" s="20"/>
      <c r="N234" s="346"/>
      <c r="O234" s="346"/>
      <c r="P234" s="346"/>
      <c r="Q234" s="346"/>
      <c r="R234" s="346"/>
    </row>
    <row r="235" spans="1:18">
      <c r="A235" s="345"/>
      <c r="E235" s="20"/>
      <c r="G235" s="20"/>
      <c r="H235" s="20"/>
      <c r="K235" s="20"/>
      <c r="L235" s="20"/>
      <c r="M235" s="20"/>
      <c r="N235" s="346"/>
      <c r="O235" s="346"/>
      <c r="P235" s="346"/>
      <c r="Q235" s="346"/>
      <c r="R235" s="346"/>
    </row>
    <row r="236" spans="1:18">
      <c r="A236" s="345"/>
      <c r="E236" s="20"/>
      <c r="G236" s="20"/>
      <c r="H236" s="20"/>
      <c r="K236" s="20"/>
      <c r="L236" s="20"/>
      <c r="M236" s="20"/>
      <c r="N236" s="346"/>
      <c r="O236" s="346"/>
      <c r="P236" s="346"/>
      <c r="Q236" s="346"/>
      <c r="R236" s="346"/>
    </row>
    <row r="237" spans="1:18">
      <c r="A237" s="345"/>
      <c r="E237" s="20"/>
      <c r="G237" s="20"/>
      <c r="H237" s="20"/>
      <c r="K237" s="20"/>
      <c r="L237" s="20"/>
      <c r="M237" s="20"/>
      <c r="N237" s="346"/>
      <c r="O237" s="346"/>
      <c r="P237" s="346"/>
      <c r="Q237" s="346"/>
      <c r="R237" s="346"/>
    </row>
    <row r="238" spans="1:18">
      <c r="A238" s="345"/>
      <c r="E238" s="20"/>
      <c r="G238" s="20"/>
      <c r="H238" s="20"/>
      <c r="K238" s="20"/>
      <c r="L238" s="20"/>
      <c r="M238" s="20"/>
      <c r="N238" s="346"/>
      <c r="O238" s="346"/>
      <c r="P238" s="346"/>
      <c r="Q238" s="346"/>
      <c r="R238" s="346"/>
    </row>
    <row r="239" spans="1:18">
      <c r="A239" s="345"/>
      <c r="E239" s="20"/>
      <c r="G239" s="20"/>
      <c r="H239" s="20"/>
      <c r="K239" s="20"/>
      <c r="L239" s="20"/>
      <c r="M239" s="20"/>
      <c r="N239" s="346"/>
      <c r="O239" s="346"/>
      <c r="P239" s="346"/>
      <c r="Q239" s="346"/>
      <c r="R239" s="346"/>
    </row>
    <row r="240" spans="1:18">
      <c r="A240" s="345"/>
      <c r="E240" s="20"/>
      <c r="G240" s="20"/>
      <c r="H240" s="20"/>
      <c r="K240" s="20"/>
      <c r="L240" s="20"/>
      <c r="M240" s="20"/>
      <c r="N240" s="346"/>
      <c r="O240" s="346"/>
      <c r="P240" s="346"/>
      <c r="Q240" s="346"/>
      <c r="R240" s="346"/>
    </row>
    <row r="241" spans="1:18">
      <c r="A241" s="345"/>
      <c r="E241" s="20"/>
      <c r="G241" s="20"/>
      <c r="H241" s="20"/>
      <c r="K241" s="20"/>
      <c r="L241" s="20"/>
      <c r="M241" s="20"/>
      <c r="N241" s="346"/>
      <c r="O241" s="346"/>
      <c r="P241" s="346"/>
      <c r="Q241" s="346"/>
      <c r="R241" s="346"/>
    </row>
    <row r="242" spans="1:18">
      <c r="A242" s="345"/>
      <c r="E242" s="20"/>
      <c r="G242" s="20"/>
      <c r="H242" s="20"/>
      <c r="K242" s="20"/>
      <c r="L242" s="20"/>
      <c r="M242" s="20"/>
      <c r="N242" s="346"/>
      <c r="O242" s="346"/>
      <c r="P242" s="346"/>
      <c r="Q242" s="346"/>
      <c r="R242" s="346"/>
    </row>
    <row r="243" spans="1:18">
      <c r="A243" s="345"/>
      <c r="E243" s="20"/>
      <c r="G243" s="20"/>
      <c r="H243" s="20"/>
      <c r="K243" s="20"/>
      <c r="L243" s="20"/>
      <c r="M243" s="20"/>
      <c r="N243" s="346"/>
      <c r="O243" s="346"/>
      <c r="P243" s="346"/>
      <c r="Q243" s="346"/>
      <c r="R243" s="346"/>
    </row>
    <row r="244" spans="1:18">
      <c r="A244" s="345"/>
      <c r="E244" s="20"/>
      <c r="G244" s="20"/>
      <c r="H244" s="20"/>
      <c r="K244" s="20"/>
      <c r="L244" s="20"/>
      <c r="M244" s="20"/>
      <c r="N244" s="346"/>
      <c r="O244" s="346"/>
      <c r="P244" s="346"/>
      <c r="Q244" s="346"/>
      <c r="R244" s="346"/>
    </row>
    <row r="245" spans="1:18">
      <c r="A245" s="345"/>
      <c r="E245" s="20"/>
      <c r="G245" s="20"/>
      <c r="H245" s="20"/>
      <c r="K245" s="20"/>
      <c r="L245" s="20"/>
      <c r="M245" s="20"/>
      <c r="N245" s="346"/>
      <c r="O245" s="346"/>
      <c r="P245" s="346"/>
      <c r="Q245" s="346"/>
      <c r="R245" s="346"/>
    </row>
    <row r="246" spans="1:18">
      <c r="A246" s="345"/>
      <c r="E246" s="20"/>
      <c r="G246" s="20"/>
      <c r="H246" s="20"/>
      <c r="K246" s="20"/>
      <c r="L246" s="20"/>
      <c r="M246" s="20"/>
      <c r="N246" s="346"/>
      <c r="O246" s="346"/>
      <c r="P246" s="346"/>
      <c r="Q246" s="346"/>
      <c r="R246" s="346"/>
    </row>
    <row r="247" spans="1:18">
      <c r="A247" s="345"/>
      <c r="E247" s="20"/>
      <c r="G247" s="20"/>
      <c r="H247" s="20"/>
      <c r="K247" s="20"/>
      <c r="L247" s="20"/>
      <c r="M247" s="20"/>
      <c r="N247" s="346"/>
      <c r="O247" s="346"/>
      <c r="P247" s="346"/>
      <c r="Q247" s="346"/>
      <c r="R247" s="346"/>
    </row>
    <row r="248" spans="1:18">
      <c r="A248" s="345"/>
      <c r="E248" s="20"/>
      <c r="G248" s="20"/>
      <c r="H248" s="20"/>
      <c r="K248" s="20"/>
      <c r="L248" s="20"/>
      <c r="M248" s="20"/>
      <c r="N248" s="346"/>
      <c r="O248" s="346"/>
      <c r="P248" s="346"/>
      <c r="Q248" s="346"/>
      <c r="R248" s="346"/>
    </row>
    <row r="249" spans="1:18">
      <c r="A249" s="345"/>
      <c r="E249" s="20"/>
      <c r="G249" s="20"/>
      <c r="H249" s="20"/>
      <c r="K249" s="20"/>
      <c r="L249" s="20"/>
      <c r="M249" s="20"/>
      <c r="N249" s="346"/>
      <c r="O249" s="346"/>
      <c r="P249" s="346"/>
      <c r="Q249" s="346"/>
      <c r="R249" s="346"/>
    </row>
    <row r="250" spans="1:18">
      <c r="A250" s="345"/>
      <c r="E250" s="20"/>
      <c r="G250" s="20"/>
      <c r="H250" s="20"/>
      <c r="K250" s="20"/>
      <c r="L250" s="20"/>
      <c r="M250" s="20"/>
      <c r="N250" s="346"/>
      <c r="O250" s="346"/>
      <c r="P250" s="346"/>
      <c r="Q250" s="346"/>
      <c r="R250" s="346"/>
    </row>
    <row r="251" spans="1:18">
      <c r="A251" s="345"/>
      <c r="E251" s="20"/>
      <c r="G251" s="20"/>
      <c r="H251" s="20"/>
      <c r="K251" s="20"/>
      <c r="L251" s="20"/>
      <c r="M251" s="20"/>
      <c r="N251" s="346"/>
      <c r="O251" s="346"/>
      <c r="P251" s="346"/>
      <c r="Q251" s="346"/>
      <c r="R251" s="346"/>
    </row>
    <row r="252" spans="1:18">
      <c r="A252" s="345"/>
      <c r="E252" s="20"/>
      <c r="G252" s="20"/>
      <c r="H252" s="20"/>
      <c r="K252" s="20"/>
      <c r="L252" s="20"/>
      <c r="M252" s="20"/>
      <c r="N252" s="346"/>
      <c r="O252" s="346"/>
      <c r="P252" s="346"/>
      <c r="Q252" s="346"/>
      <c r="R252" s="346"/>
    </row>
    <row r="253" spans="1:18">
      <c r="A253" s="345"/>
      <c r="E253" s="20"/>
      <c r="G253" s="20"/>
      <c r="H253" s="20"/>
      <c r="K253" s="20"/>
      <c r="L253" s="20"/>
      <c r="M253" s="20"/>
      <c r="N253" s="346"/>
      <c r="O253" s="346"/>
      <c r="P253" s="346"/>
      <c r="Q253" s="346"/>
      <c r="R253" s="346"/>
    </row>
    <row r="254" spans="1:18">
      <c r="A254" s="345"/>
      <c r="E254" s="20"/>
      <c r="G254" s="20"/>
      <c r="H254" s="20"/>
      <c r="K254" s="20"/>
      <c r="L254" s="20"/>
      <c r="M254" s="20"/>
      <c r="N254" s="346"/>
      <c r="O254" s="346"/>
      <c r="P254" s="346"/>
      <c r="Q254" s="346"/>
      <c r="R254" s="346"/>
    </row>
    <row r="255" spans="1:18">
      <c r="A255" s="345"/>
      <c r="E255" s="20"/>
      <c r="G255" s="20"/>
      <c r="H255" s="20"/>
      <c r="K255" s="20"/>
      <c r="L255" s="20"/>
      <c r="M255" s="20"/>
      <c r="N255" s="346"/>
      <c r="O255" s="346"/>
      <c r="P255" s="346"/>
      <c r="Q255" s="346"/>
      <c r="R255" s="346"/>
    </row>
    <row r="256" spans="1:18">
      <c r="A256" s="345"/>
      <c r="E256" s="20"/>
      <c r="G256" s="20"/>
      <c r="H256" s="20"/>
      <c r="K256" s="20"/>
      <c r="L256" s="20"/>
      <c r="M256" s="20"/>
      <c r="N256" s="346"/>
      <c r="O256" s="346"/>
      <c r="P256" s="346"/>
      <c r="Q256" s="346"/>
      <c r="R256" s="346"/>
    </row>
    <row r="257" spans="1:18">
      <c r="A257" s="345"/>
      <c r="E257" s="20"/>
      <c r="G257" s="20"/>
      <c r="H257" s="20"/>
      <c r="K257" s="20"/>
      <c r="L257" s="20"/>
      <c r="M257" s="20"/>
      <c r="N257" s="346"/>
      <c r="O257" s="346"/>
      <c r="P257" s="346"/>
      <c r="Q257" s="346"/>
      <c r="R257" s="346"/>
    </row>
    <row r="258" spans="1:18">
      <c r="A258" s="345"/>
      <c r="E258" s="20"/>
      <c r="G258" s="20"/>
      <c r="H258" s="20"/>
      <c r="K258" s="20"/>
      <c r="L258" s="20"/>
      <c r="M258" s="20"/>
      <c r="N258" s="346"/>
      <c r="O258" s="346"/>
      <c r="P258" s="346"/>
      <c r="Q258" s="346"/>
      <c r="R258" s="346"/>
    </row>
    <row r="259" spans="1:18">
      <c r="A259" s="345"/>
      <c r="E259" s="20"/>
      <c r="G259" s="20"/>
      <c r="H259" s="20"/>
      <c r="K259" s="20"/>
      <c r="L259" s="20"/>
      <c r="M259" s="20"/>
      <c r="N259" s="346"/>
      <c r="O259" s="346"/>
      <c r="P259" s="346"/>
      <c r="Q259" s="346"/>
      <c r="R259" s="346"/>
    </row>
    <row r="260" spans="1:18">
      <c r="A260" s="345"/>
      <c r="E260" s="20"/>
      <c r="G260" s="20"/>
      <c r="H260" s="20"/>
      <c r="K260" s="20"/>
      <c r="L260" s="20"/>
      <c r="M260" s="20"/>
      <c r="N260" s="346"/>
      <c r="O260" s="346"/>
      <c r="P260" s="346"/>
      <c r="Q260" s="346"/>
      <c r="R260" s="346"/>
    </row>
    <row r="261" spans="1:18">
      <c r="A261" s="345"/>
      <c r="E261" s="20"/>
      <c r="G261" s="20"/>
      <c r="H261" s="20"/>
      <c r="K261" s="20"/>
      <c r="L261" s="20"/>
      <c r="M261" s="20"/>
      <c r="N261" s="346"/>
      <c r="O261" s="346"/>
      <c r="P261" s="346"/>
      <c r="Q261" s="346"/>
      <c r="R261" s="346"/>
    </row>
    <row r="262" spans="1:18">
      <c r="A262" s="345"/>
      <c r="E262" s="20"/>
      <c r="G262" s="20"/>
      <c r="H262" s="20"/>
      <c r="K262" s="20"/>
      <c r="L262" s="20"/>
      <c r="M262" s="20"/>
      <c r="N262" s="346"/>
      <c r="O262" s="346"/>
      <c r="P262" s="346"/>
      <c r="Q262" s="346"/>
      <c r="R262" s="346"/>
    </row>
    <row r="263" spans="1:18">
      <c r="A263" s="345"/>
      <c r="E263" s="20"/>
      <c r="G263" s="20"/>
      <c r="H263" s="20"/>
      <c r="K263" s="20"/>
      <c r="L263" s="20"/>
      <c r="M263" s="20"/>
      <c r="N263" s="346"/>
      <c r="O263" s="346"/>
      <c r="P263" s="346"/>
      <c r="Q263" s="346"/>
      <c r="R263" s="346"/>
    </row>
    <row r="264" spans="1:18">
      <c r="A264" s="345"/>
      <c r="E264" s="20"/>
      <c r="G264" s="20"/>
      <c r="H264" s="20"/>
      <c r="K264" s="20"/>
      <c r="L264" s="20"/>
      <c r="M264" s="20"/>
      <c r="N264" s="346"/>
      <c r="O264" s="346"/>
      <c r="P264" s="346"/>
      <c r="Q264" s="346"/>
      <c r="R264" s="346"/>
    </row>
    <row r="265" spans="1:18">
      <c r="A265" s="345"/>
      <c r="E265" s="20"/>
      <c r="G265" s="20"/>
      <c r="H265" s="20"/>
      <c r="K265" s="20"/>
      <c r="L265" s="20"/>
      <c r="M265" s="20"/>
      <c r="N265" s="346"/>
      <c r="O265" s="346"/>
      <c r="P265" s="346"/>
      <c r="Q265" s="346"/>
      <c r="R265" s="346"/>
    </row>
    <row r="266" spans="1:18">
      <c r="A266" s="345"/>
      <c r="E266" s="20"/>
      <c r="G266" s="20"/>
      <c r="H266" s="20"/>
      <c r="K266" s="20"/>
      <c r="L266" s="20"/>
      <c r="M266" s="20"/>
      <c r="N266" s="346"/>
      <c r="O266" s="346"/>
      <c r="P266" s="346"/>
      <c r="Q266" s="346"/>
      <c r="R266" s="346"/>
    </row>
    <row r="267" spans="1:18">
      <c r="A267" s="345"/>
      <c r="E267" s="20"/>
      <c r="G267" s="20"/>
      <c r="H267" s="20"/>
      <c r="K267" s="20"/>
      <c r="L267" s="20"/>
      <c r="M267" s="20"/>
      <c r="N267" s="346"/>
      <c r="O267" s="346"/>
      <c r="P267" s="346"/>
      <c r="Q267" s="346"/>
      <c r="R267" s="346"/>
    </row>
    <row r="268" spans="1:18">
      <c r="A268" s="345"/>
      <c r="E268" s="20"/>
      <c r="G268" s="20"/>
      <c r="H268" s="20"/>
      <c r="K268" s="20"/>
      <c r="L268" s="20"/>
      <c r="M268" s="20"/>
      <c r="N268" s="346"/>
      <c r="O268" s="346"/>
      <c r="P268" s="346"/>
      <c r="Q268" s="346"/>
      <c r="R268" s="346"/>
    </row>
    <row r="269" spans="1:18">
      <c r="A269" s="345"/>
      <c r="E269" s="20"/>
      <c r="G269" s="20"/>
      <c r="H269" s="20"/>
      <c r="K269" s="20"/>
      <c r="L269" s="20"/>
      <c r="M269" s="20"/>
      <c r="N269" s="346"/>
      <c r="O269" s="346"/>
      <c r="P269" s="346"/>
      <c r="Q269" s="346"/>
      <c r="R269" s="346"/>
    </row>
    <row r="270" spans="1:18">
      <c r="A270" s="345"/>
      <c r="E270" s="20"/>
      <c r="G270" s="20"/>
      <c r="H270" s="20"/>
      <c r="K270" s="20"/>
      <c r="L270" s="20"/>
      <c r="M270" s="20"/>
      <c r="N270" s="346"/>
      <c r="O270" s="346"/>
      <c r="P270" s="346"/>
      <c r="Q270" s="346"/>
      <c r="R270" s="346"/>
    </row>
    <row r="271" spans="1:18">
      <c r="A271" s="345"/>
      <c r="E271" s="20"/>
      <c r="G271" s="20"/>
      <c r="H271" s="20"/>
      <c r="K271" s="20"/>
      <c r="L271" s="20"/>
      <c r="M271" s="20"/>
      <c r="N271" s="346"/>
      <c r="O271" s="346"/>
      <c r="P271" s="346"/>
      <c r="Q271" s="346"/>
      <c r="R271" s="346"/>
    </row>
  </sheetData>
  <mergeCells count="31">
    <mergeCell ref="R44:S44"/>
    <mergeCell ref="P10:P11"/>
    <mergeCell ref="O9:P9"/>
    <mergeCell ref="O10:O11"/>
    <mergeCell ref="S7:S11"/>
    <mergeCell ref="N7:P8"/>
    <mergeCell ref="R7:R11"/>
    <mergeCell ref="Q7:Q11"/>
    <mergeCell ref="N42:S42"/>
    <mergeCell ref="M7:M11"/>
    <mergeCell ref="A1:B1"/>
    <mergeCell ref="A2:B2"/>
    <mergeCell ref="A4:S4"/>
    <mergeCell ref="A5:S5"/>
    <mergeCell ref="A6:S6"/>
    <mergeCell ref="A7:A11"/>
    <mergeCell ref="B7:B11"/>
    <mergeCell ref="C7:C11"/>
    <mergeCell ref="D7:D11"/>
    <mergeCell ref="E7:E11"/>
    <mergeCell ref="F7:F11"/>
    <mergeCell ref="L9:L11"/>
    <mergeCell ref="N9:N11"/>
    <mergeCell ref="G7:I7"/>
    <mergeCell ref="K7:L8"/>
    <mergeCell ref="G8:G11"/>
    <mergeCell ref="H8:I8"/>
    <mergeCell ref="H9:H11"/>
    <mergeCell ref="I9:I11"/>
    <mergeCell ref="K9:K11"/>
    <mergeCell ref="J7:J11"/>
  </mergeCells>
  <printOptions horizontalCentered="1"/>
  <pageMargins left="0.59055118110236227" right="0.15748031496062992" top="0.74803149606299213" bottom="0.74803149606299213" header="0.51181102362204722" footer="0.31496062992125984"/>
  <pageSetup paperSize="8" fitToHeight="0" orientation="landscape" useFirstPageNumber="1" r:id="rId1"/>
  <headerFooter differentFirst="1" scaleWithDoc="0" alignWithMargins="0">
    <oddHeader>&amp;C&amp;P</oddHeader>
  </headerFooter>
  <ignoredErrors>
    <ignoredError sqref="N30:O30 N28:O28 N39:O39 N16:O16 M29:N29 K29" formula="1"/>
    <ignoredError sqref="A40 R31 T31 V31:XFD31 A31:I31 K31:M31" numberStoredAsText="1"/>
  </ignoredError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0000"/>
  </sheetPr>
  <dimension ref="A1:JA103"/>
  <sheetViews>
    <sheetView view="pageBreakPreview" topLeftCell="N33" zoomScale="70" zoomScaleNormal="55" zoomScaleSheetLayoutView="70" workbookViewId="0">
      <selection activeCell="N94" sqref="N94"/>
    </sheetView>
  </sheetViews>
  <sheetFormatPr defaultColWidth="8.85546875" defaultRowHeight="15.75"/>
  <cols>
    <col min="1" max="1" width="6.140625" style="474" customWidth="1"/>
    <col min="2" max="2" width="50.42578125" style="474" customWidth="1"/>
    <col min="3" max="3" width="11.85546875" style="475" customWidth="1"/>
    <col min="4" max="4" width="45.5703125" style="475" hidden="1" customWidth="1"/>
    <col min="5" max="5" width="6.85546875" style="476" customWidth="1"/>
    <col min="6" max="6" width="14.42578125" style="474" customWidth="1"/>
    <col min="7" max="7" width="7.85546875" style="474" customWidth="1"/>
    <col min="8" max="8" width="9.140625" style="474" customWidth="1"/>
    <col min="9" max="9" width="5.5703125" style="474" customWidth="1"/>
    <col min="10" max="10" width="7.5703125" style="474" customWidth="1"/>
    <col min="11" max="11" width="6.140625" style="474" customWidth="1"/>
    <col min="12" max="12" width="8.5703125" style="474" hidden="1" customWidth="1"/>
    <col min="13" max="13" width="7.5703125" style="474" customWidth="1"/>
    <col min="14" max="15" width="8.140625" style="474" customWidth="1"/>
    <col min="16" max="17" width="7.42578125" style="474" hidden="1" customWidth="1"/>
    <col min="18" max="18" width="6.85546875" style="474" hidden="1" customWidth="1"/>
    <col min="19" max="19" width="8.42578125" style="474" customWidth="1"/>
    <col min="20" max="20" width="7.42578125" style="474" customWidth="1"/>
    <col min="21" max="21" width="6.85546875" style="474" customWidth="1"/>
    <col min="22" max="22" width="0" style="474" hidden="1" customWidth="1"/>
    <col min="23" max="23" width="8.140625" style="474" hidden="1" customWidth="1"/>
    <col min="24" max="26" width="8.5703125" style="474" hidden="1" customWidth="1"/>
    <col min="27" max="27" width="12.5703125" style="474" customWidth="1"/>
    <col min="28" max="28" width="8.85546875" style="474"/>
    <col min="29" max="30" width="15.5703125" style="474" bestFit="1" customWidth="1"/>
    <col min="31" max="31" width="12.5703125" style="474" bestFit="1" customWidth="1"/>
    <col min="32" max="32" width="10.42578125" style="474" bestFit="1" customWidth="1"/>
    <col min="33" max="239" width="8.85546875" style="474"/>
    <col min="240" max="240" width="38.140625" style="474" customWidth="1"/>
    <col min="241" max="241" width="11.85546875" style="474" customWidth="1"/>
    <col min="242" max="242" width="45.5703125" style="474" customWidth="1"/>
    <col min="243" max="243" width="8.85546875" style="474"/>
    <col min="244" max="244" width="13.140625" style="474" customWidth="1"/>
    <col min="245" max="245" width="8.85546875" style="474"/>
    <col min="246" max="246" width="11.85546875" style="474" customWidth="1"/>
    <col min="247" max="247" width="10.5703125" style="474" customWidth="1"/>
    <col min="248" max="248" width="11.42578125" style="474" customWidth="1"/>
    <col min="249" max="249" width="8.85546875" style="474"/>
    <col min="250" max="250" width="10.42578125" style="474" customWidth="1"/>
    <col min="251" max="251" width="10.85546875" style="474" customWidth="1"/>
    <col min="252" max="252" width="11.42578125" style="474" customWidth="1"/>
    <col min="253" max="253" width="12" style="474" customWidth="1"/>
    <col min="254" max="254" width="11.85546875" style="474" customWidth="1"/>
    <col min="255" max="255" width="8.5703125" style="474" customWidth="1"/>
    <col min="256" max="256" width="11.42578125" style="474" customWidth="1"/>
    <col min="257" max="257" width="11" style="474" customWidth="1"/>
    <col min="258" max="258" width="11.5703125" style="474" customWidth="1"/>
    <col min="259" max="259" width="8.85546875" style="474"/>
    <col min="260" max="260" width="11.140625" style="474" customWidth="1"/>
    <col min="261" max="495" width="8.85546875" style="474"/>
    <col min="496" max="496" width="38.140625" style="474" customWidth="1"/>
    <col min="497" max="497" width="11.85546875" style="474" customWidth="1"/>
    <col min="498" max="498" width="45.5703125" style="474" customWidth="1"/>
    <col min="499" max="499" width="8.85546875" style="474"/>
    <col min="500" max="500" width="13.140625" style="474" customWidth="1"/>
    <col min="501" max="501" width="8.85546875" style="474"/>
    <col min="502" max="502" width="11.85546875" style="474" customWidth="1"/>
    <col min="503" max="503" width="10.5703125" style="474" customWidth="1"/>
    <col min="504" max="504" width="11.42578125" style="474" customWidth="1"/>
    <col min="505" max="505" width="8.85546875" style="474"/>
    <col min="506" max="506" width="10.42578125" style="474" customWidth="1"/>
    <col min="507" max="507" width="10.85546875" style="474" customWidth="1"/>
    <col min="508" max="508" width="11.42578125" style="474" customWidth="1"/>
    <col min="509" max="509" width="12" style="474" customWidth="1"/>
    <col min="510" max="510" width="11.85546875" style="474" customWidth="1"/>
    <col min="511" max="511" width="8.5703125" style="474" customWidth="1"/>
    <col min="512" max="512" width="11.42578125" style="474" customWidth="1"/>
    <col min="513" max="513" width="11" style="474" customWidth="1"/>
    <col min="514" max="514" width="11.5703125" style="474" customWidth="1"/>
    <col min="515" max="515" width="8.85546875" style="474"/>
    <col min="516" max="516" width="11.140625" style="474" customWidth="1"/>
    <col min="517" max="751" width="8.85546875" style="474"/>
    <col min="752" max="752" width="38.140625" style="474" customWidth="1"/>
    <col min="753" max="753" width="11.85546875" style="474" customWidth="1"/>
    <col min="754" max="754" width="45.5703125" style="474" customWidth="1"/>
    <col min="755" max="755" width="8.85546875" style="474"/>
    <col min="756" max="756" width="13.140625" style="474" customWidth="1"/>
    <col min="757" max="757" width="8.85546875" style="474"/>
    <col min="758" max="758" width="11.85546875" style="474" customWidth="1"/>
    <col min="759" max="759" width="10.5703125" style="474" customWidth="1"/>
    <col min="760" max="760" width="11.42578125" style="474" customWidth="1"/>
    <col min="761" max="761" width="8.85546875" style="474"/>
    <col min="762" max="762" width="10.42578125" style="474" customWidth="1"/>
    <col min="763" max="763" width="10.85546875" style="474" customWidth="1"/>
    <col min="764" max="764" width="11.42578125" style="474" customWidth="1"/>
    <col min="765" max="765" width="12" style="474" customWidth="1"/>
    <col min="766" max="766" width="11.85546875" style="474" customWidth="1"/>
    <col min="767" max="767" width="8.5703125" style="474" customWidth="1"/>
    <col min="768" max="768" width="11.42578125" style="474" customWidth="1"/>
    <col min="769" max="769" width="11" style="474" customWidth="1"/>
    <col min="770" max="770" width="11.5703125" style="474" customWidth="1"/>
    <col min="771" max="771" width="8.85546875" style="474"/>
    <col min="772" max="772" width="11.140625" style="474" customWidth="1"/>
    <col min="773" max="1007" width="8.85546875" style="474"/>
    <col min="1008" max="1008" width="38.140625" style="474" customWidth="1"/>
    <col min="1009" max="1009" width="11.85546875" style="474" customWidth="1"/>
    <col min="1010" max="1010" width="45.5703125" style="474" customWidth="1"/>
    <col min="1011" max="1011" width="8.85546875" style="474"/>
    <col min="1012" max="1012" width="13.140625" style="474" customWidth="1"/>
    <col min="1013" max="1013" width="8.85546875" style="474"/>
    <col min="1014" max="1014" width="11.85546875" style="474" customWidth="1"/>
    <col min="1015" max="1015" width="10.5703125" style="474" customWidth="1"/>
    <col min="1016" max="1016" width="11.42578125" style="474" customWidth="1"/>
    <col min="1017" max="1017" width="8.85546875" style="474"/>
    <col min="1018" max="1018" width="10.42578125" style="474" customWidth="1"/>
    <col min="1019" max="1019" width="10.85546875" style="474" customWidth="1"/>
    <col min="1020" max="1020" width="11.42578125" style="474" customWidth="1"/>
    <col min="1021" max="1021" width="12" style="474" customWidth="1"/>
    <col min="1022" max="1022" width="11.85546875" style="474" customWidth="1"/>
    <col min="1023" max="1023" width="8.5703125" style="474" customWidth="1"/>
    <col min="1024" max="1024" width="11.42578125" style="474" customWidth="1"/>
    <col min="1025" max="1025" width="11" style="474" customWidth="1"/>
    <col min="1026" max="1026" width="11.5703125" style="474" customWidth="1"/>
    <col min="1027" max="1027" width="8.85546875" style="474"/>
    <col min="1028" max="1028" width="11.140625" style="474" customWidth="1"/>
    <col min="1029" max="1263" width="8.85546875" style="474"/>
    <col min="1264" max="1264" width="38.140625" style="474" customWidth="1"/>
    <col min="1265" max="1265" width="11.85546875" style="474" customWidth="1"/>
    <col min="1266" max="1266" width="45.5703125" style="474" customWidth="1"/>
    <col min="1267" max="1267" width="8.85546875" style="474"/>
    <col min="1268" max="1268" width="13.140625" style="474" customWidth="1"/>
    <col min="1269" max="1269" width="8.85546875" style="474"/>
    <col min="1270" max="1270" width="11.85546875" style="474" customWidth="1"/>
    <col min="1271" max="1271" width="10.5703125" style="474" customWidth="1"/>
    <col min="1272" max="1272" width="11.42578125" style="474" customWidth="1"/>
    <col min="1273" max="1273" width="8.85546875" style="474"/>
    <col min="1274" max="1274" width="10.42578125" style="474" customWidth="1"/>
    <col min="1275" max="1275" width="10.85546875" style="474" customWidth="1"/>
    <col min="1276" max="1276" width="11.42578125" style="474" customWidth="1"/>
    <col min="1277" max="1277" width="12" style="474" customWidth="1"/>
    <col min="1278" max="1278" width="11.85546875" style="474" customWidth="1"/>
    <col min="1279" max="1279" width="8.5703125" style="474" customWidth="1"/>
    <col min="1280" max="1280" width="11.42578125" style="474" customWidth="1"/>
    <col min="1281" max="1281" width="11" style="474" customWidth="1"/>
    <col min="1282" max="1282" width="11.5703125" style="474" customWidth="1"/>
    <col min="1283" max="1283" width="8.85546875" style="474"/>
    <col min="1284" max="1284" width="11.140625" style="474" customWidth="1"/>
    <col min="1285" max="1519" width="8.85546875" style="474"/>
    <col min="1520" max="1520" width="38.140625" style="474" customWidth="1"/>
    <col min="1521" max="1521" width="11.85546875" style="474" customWidth="1"/>
    <col min="1522" max="1522" width="45.5703125" style="474" customWidth="1"/>
    <col min="1523" max="1523" width="8.85546875" style="474"/>
    <col min="1524" max="1524" width="13.140625" style="474" customWidth="1"/>
    <col min="1525" max="1525" width="8.85546875" style="474"/>
    <col min="1526" max="1526" width="11.85546875" style="474" customWidth="1"/>
    <col min="1527" max="1527" width="10.5703125" style="474" customWidth="1"/>
    <col min="1528" max="1528" width="11.42578125" style="474" customWidth="1"/>
    <col min="1529" max="1529" width="8.85546875" style="474"/>
    <col min="1530" max="1530" width="10.42578125" style="474" customWidth="1"/>
    <col min="1531" max="1531" width="10.85546875" style="474" customWidth="1"/>
    <col min="1532" max="1532" width="11.42578125" style="474" customWidth="1"/>
    <col min="1533" max="1533" width="12" style="474" customWidth="1"/>
    <col min="1534" max="1534" width="11.85546875" style="474" customWidth="1"/>
    <col min="1535" max="1535" width="8.5703125" style="474" customWidth="1"/>
    <col min="1536" max="1536" width="11.42578125" style="474" customWidth="1"/>
    <col min="1537" max="1537" width="11" style="474" customWidth="1"/>
    <col min="1538" max="1538" width="11.5703125" style="474" customWidth="1"/>
    <col min="1539" max="1539" width="8.85546875" style="474"/>
    <col min="1540" max="1540" width="11.140625" style="474" customWidth="1"/>
    <col min="1541" max="1775" width="8.85546875" style="474"/>
    <col min="1776" max="1776" width="38.140625" style="474" customWidth="1"/>
    <col min="1777" max="1777" width="11.85546875" style="474" customWidth="1"/>
    <col min="1778" max="1778" width="45.5703125" style="474" customWidth="1"/>
    <col min="1779" max="1779" width="8.85546875" style="474"/>
    <col min="1780" max="1780" width="13.140625" style="474" customWidth="1"/>
    <col min="1781" max="1781" width="8.85546875" style="474"/>
    <col min="1782" max="1782" width="11.85546875" style="474" customWidth="1"/>
    <col min="1783" max="1783" width="10.5703125" style="474" customWidth="1"/>
    <col min="1784" max="1784" width="11.42578125" style="474" customWidth="1"/>
    <col min="1785" max="1785" width="8.85546875" style="474"/>
    <col min="1786" max="1786" width="10.42578125" style="474" customWidth="1"/>
    <col min="1787" max="1787" width="10.85546875" style="474" customWidth="1"/>
    <col min="1788" max="1788" width="11.42578125" style="474" customWidth="1"/>
    <col min="1789" max="1789" width="12" style="474" customWidth="1"/>
    <col min="1790" max="1790" width="11.85546875" style="474" customWidth="1"/>
    <col min="1791" max="1791" width="8.5703125" style="474" customWidth="1"/>
    <col min="1792" max="1792" width="11.42578125" style="474" customWidth="1"/>
    <col min="1793" max="1793" width="11" style="474" customWidth="1"/>
    <col min="1794" max="1794" width="11.5703125" style="474" customWidth="1"/>
    <col min="1795" max="1795" width="8.85546875" style="474"/>
    <col min="1796" max="1796" width="11.140625" style="474" customWidth="1"/>
    <col min="1797" max="2031" width="8.85546875" style="474"/>
    <col min="2032" max="2032" width="38.140625" style="474" customWidth="1"/>
    <col min="2033" max="2033" width="11.85546875" style="474" customWidth="1"/>
    <col min="2034" max="2034" width="45.5703125" style="474" customWidth="1"/>
    <col min="2035" max="2035" width="8.85546875" style="474"/>
    <col min="2036" max="2036" width="13.140625" style="474" customWidth="1"/>
    <col min="2037" max="2037" width="8.85546875" style="474"/>
    <col min="2038" max="2038" width="11.85546875" style="474" customWidth="1"/>
    <col min="2039" max="2039" width="10.5703125" style="474" customWidth="1"/>
    <col min="2040" max="2040" width="11.42578125" style="474" customWidth="1"/>
    <col min="2041" max="2041" width="8.85546875" style="474"/>
    <col min="2042" max="2042" width="10.42578125" style="474" customWidth="1"/>
    <col min="2043" max="2043" width="10.85546875" style="474" customWidth="1"/>
    <col min="2044" max="2044" width="11.42578125" style="474" customWidth="1"/>
    <col min="2045" max="2045" width="12" style="474" customWidth="1"/>
    <col min="2046" max="2046" width="11.85546875" style="474" customWidth="1"/>
    <col min="2047" max="2047" width="8.5703125" style="474" customWidth="1"/>
    <col min="2048" max="2048" width="11.42578125" style="474" customWidth="1"/>
    <col min="2049" max="2049" width="11" style="474" customWidth="1"/>
    <col min="2050" max="2050" width="11.5703125" style="474" customWidth="1"/>
    <col min="2051" max="2051" width="8.85546875" style="474"/>
    <col min="2052" max="2052" width="11.140625" style="474" customWidth="1"/>
    <col min="2053" max="2287" width="8.85546875" style="474"/>
    <col min="2288" max="2288" width="38.140625" style="474" customWidth="1"/>
    <col min="2289" max="2289" width="11.85546875" style="474" customWidth="1"/>
    <col min="2290" max="2290" width="45.5703125" style="474" customWidth="1"/>
    <col min="2291" max="2291" width="8.85546875" style="474"/>
    <col min="2292" max="2292" width="13.140625" style="474" customWidth="1"/>
    <col min="2293" max="2293" width="8.85546875" style="474"/>
    <col min="2294" max="2294" width="11.85546875" style="474" customWidth="1"/>
    <col min="2295" max="2295" width="10.5703125" style="474" customWidth="1"/>
    <col min="2296" max="2296" width="11.42578125" style="474" customWidth="1"/>
    <col min="2297" max="2297" width="8.85546875" style="474"/>
    <col min="2298" max="2298" width="10.42578125" style="474" customWidth="1"/>
    <col min="2299" max="2299" width="10.85546875" style="474" customWidth="1"/>
    <col min="2300" max="2300" width="11.42578125" style="474" customWidth="1"/>
    <col min="2301" max="2301" width="12" style="474" customWidth="1"/>
    <col min="2302" max="2302" width="11.85546875" style="474" customWidth="1"/>
    <col min="2303" max="2303" width="8.5703125" style="474" customWidth="1"/>
    <col min="2304" max="2304" width="11.42578125" style="474" customWidth="1"/>
    <col min="2305" max="2305" width="11" style="474" customWidth="1"/>
    <col min="2306" max="2306" width="11.5703125" style="474" customWidth="1"/>
    <col min="2307" max="2307" width="8.85546875" style="474"/>
    <col min="2308" max="2308" width="11.140625" style="474" customWidth="1"/>
    <col min="2309" max="2543" width="8.85546875" style="474"/>
    <col min="2544" max="2544" width="38.140625" style="474" customWidth="1"/>
    <col min="2545" max="2545" width="11.85546875" style="474" customWidth="1"/>
    <col min="2546" max="2546" width="45.5703125" style="474" customWidth="1"/>
    <col min="2547" max="2547" width="8.85546875" style="474"/>
    <col min="2548" max="2548" width="13.140625" style="474" customWidth="1"/>
    <col min="2549" max="2549" width="8.85546875" style="474"/>
    <col min="2550" max="2550" width="11.85546875" style="474" customWidth="1"/>
    <col min="2551" max="2551" width="10.5703125" style="474" customWidth="1"/>
    <col min="2552" max="2552" width="11.42578125" style="474" customWidth="1"/>
    <col min="2553" max="2553" width="8.85546875" style="474"/>
    <col min="2554" max="2554" width="10.42578125" style="474" customWidth="1"/>
    <col min="2555" max="2555" width="10.85546875" style="474" customWidth="1"/>
    <col min="2556" max="2556" width="11.42578125" style="474" customWidth="1"/>
    <col min="2557" max="2557" width="12" style="474" customWidth="1"/>
    <col min="2558" max="2558" width="11.85546875" style="474" customWidth="1"/>
    <col min="2559" max="2559" width="8.5703125" style="474" customWidth="1"/>
    <col min="2560" max="2560" width="11.42578125" style="474" customWidth="1"/>
    <col min="2561" max="2561" width="11" style="474" customWidth="1"/>
    <col min="2562" max="2562" width="11.5703125" style="474" customWidth="1"/>
    <col min="2563" max="2563" width="8.85546875" style="474"/>
    <col min="2564" max="2564" width="11.140625" style="474" customWidth="1"/>
    <col min="2565" max="2799" width="8.85546875" style="474"/>
    <col min="2800" max="2800" width="38.140625" style="474" customWidth="1"/>
    <col min="2801" max="2801" width="11.85546875" style="474" customWidth="1"/>
    <col min="2802" max="2802" width="45.5703125" style="474" customWidth="1"/>
    <col min="2803" max="2803" width="8.85546875" style="474"/>
    <col min="2804" max="2804" width="13.140625" style="474" customWidth="1"/>
    <col min="2805" max="2805" width="8.85546875" style="474"/>
    <col min="2806" max="2806" width="11.85546875" style="474" customWidth="1"/>
    <col min="2807" max="2807" width="10.5703125" style="474" customWidth="1"/>
    <col min="2808" max="2808" width="11.42578125" style="474" customWidth="1"/>
    <col min="2809" max="2809" width="8.85546875" style="474"/>
    <col min="2810" max="2810" width="10.42578125" style="474" customWidth="1"/>
    <col min="2811" max="2811" width="10.85546875" style="474" customWidth="1"/>
    <col min="2812" max="2812" width="11.42578125" style="474" customWidth="1"/>
    <col min="2813" max="2813" width="12" style="474" customWidth="1"/>
    <col min="2814" max="2814" width="11.85546875" style="474" customWidth="1"/>
    <col min="2815" max="2815" width="8.5703125" style="474" customWidth="1"/>
    <col min="2816" max="2816" width="11.42578125" style="474" customWidth="1"/>
    <col min="2817" max="2817" width="11" style="474" customWidth="1"/>
    <col min="2818" max="2818" width="11.5703125" style="474" customWidth="1"/>
    <col min="2819" max="2819" width="8.85546875" style="474"/>
    <col min="2820" max="2820" width="11.140625" style="474" customWidth="1"/>
    <col min="2821" max="3055" width="8.85546875" style="474"/>
    <col min="3056" max="3056" width="38.140625" style="474" customWidth="1"/>
    <col min="3057" max="3057" width="11.85546875" style="474" customWidth="1"/>
    <col min="3058" max="3058" width="45.5703125" style="474" customWidth="1"/>
    <col min="3059" max="3059" width="8.85546875" style="474"/>
    <col min="3060" max="3060" width="13.140625" style="474" customWidth="1"/>
    <col min="3061" max="3061" width="8.85546875" style="474"/>
    <col min="3062" max="3062" width="11.85546875" style="474" customWidth="1"/>
    <col min="3063" max="3063" width="10.5703125" style="474" customWidth="1"/>
    <col min="3064" max="3064" width="11.42578125" style="474" customWidth="1"/>
    <col min="3065" max="3065" width="8.85546875" style="474"/>
    <col min="3066" max="3066" width="10.42578125" style="474" customWidth="1"/>
    <col min="3067" max="3067" width="10.85546875" style="474" customWidth="1"/>
    <col min="3068" max="3068" width="11.42578125" style="474" customWidth="1"/>
    <col min="3069" max="3069" width="12" style="474" customWidth="1"/>
    <col min="3070" max="3070" width="11.85546875" style="474" customWidth="1"/>
    <col min="3071" max="3071" width="8.5703125" style="474" customWidth="1"/>
    <col min="3072" max="3072" width="11.42578125" style="474" customWidth="1"/>
    <col min="3073" max="3073" width="11" style="474" customWidth="1"/>
    <col min="3074" max="3074" width="11.5703125" style="474" customWidth="1"/>
    <col min="3075" max="3075" width="8.85546875" style="474"/>
    <col min="3076" max="3076" width="11.140625" style="474" customWidth="1"/>
    <col min="3077" max="3311" width="8.85546875" style="474"/>
    <col min="3312" max="3312" width="38.140625" style="474" customWidth="1"/>
    <col min="3313" max="3313" width="11.85546875" style="474" customWidth="1"/>
    <col min="3314" max="3314" width="45.5703125" style="474" customWidth="1"/>
    <col min="3315" max="3315" width="8.85546875" style="474"/>
    <col min="3316" max="3316" width="13.140625" style="474" customWidth="1"/>
    <col min="3317" max="3317" width="8.85546875" style="474"/>
    <col min="3318" max="3318" width="11.85546875" style="474" customWidth="1"/>
    <col min="3319" max="3319" width="10.5703125" style="474" customWidth="1"/>
    <col min="3320" max="3320" width="11.42578125" style="474" customWidth="1"/>
    <col min="3321" max="3321" width="8.85546875" style="474"/>
    <col min="3322" max="3322" width="10.42578125" style="474" customWidth="1"/>
    <col min="3323" max="3323" width="10.85546875" style="474" customWidth="1"/>
    <col min="3324" max="3324" width="11.42578125" style="474" customWidth="1"/>
    <col min="3325" max="3325" width="12" style="474" customWidth="1"/>
    <col min="3326" max="3326" width="11.85546875" style="474" customWidth="1"/>
    <col min="3327" max="3327" width="8.5703125" style="474" customWidth="1"/>
    <col min="3328" max="3328" width="11.42578125" style="474" customWidth="1"/>
    <col min="3329" max="3329" width="11" style="474" customWidth="1"/>
    <col min="3330" max="3330" width="11.5703125" style="474" customWidth="1"/>
    <col min="3331" max="3331" width="8.85546875" style="474"/>
    <col min="3332" max="3332" width="11.140625" style="474" customWidth="1"/>
    <col min="3333" max="3567" width="8.85546875" style="474"/>
    <col min="3568" max="3568" width="38.140625" style="474" customWidth="1"/>
    <col min="3569" max="3569" width="11.85546875" style="474" customWidth="1"/>
    <col min="3570" max="3570" width="45.5703125" style="474" customWidth="1"/>
    <col min="3571" max="3571" width="8.85546875" style="474"/>
    <col min="3572" max="3572" width="13.140625" style="474" customWidth="1"/>
    <col min="3573" max="3573" width="8.85546875" style="474"/>
    <col min="3574" max="3574" width="11.85546875" style="474" customWidth="1"/>
    <col min="3575" max="3575" width="10.5703125" style="474" customWidth="1"/>
    <col min="3576" max="3576" width="11.42578125" style="474" customWidth="1"/>
    <col min="3577" max="3577" width="8.85546875" style="474"/>
    <col min="3578" max="3578" width="10.42578125" style="474" customWidth="1"/>
    <col min="3579" max="3579" width="10.85546875" style="474" customWidth="1"/>
    <col min="3580" max="3580" width="11.42578125" style="474" customWidth="1"/>
    <col min="3581" max="3581" width="12" style="474" customWidth="1"/>
    <col min="3582" max="3582" width="11.85546875" style="474" customWidth="1"/>
    <col min="3583" max="3583" width="8.5703125" style="474" customWidth="1"/>
    <col min="3584" max="3584" width="11.42578125" style="474" customWidth="1"/>
    <col min="3585" max="3585" width="11" style="474" customWidth="1"/>
    <col min="3586" max="3586" width="11.5703125" style="474" customWidth="1"/>
    <col min="3587" max="3587" width="8.85546875" style="474"/>
    <col min="3588" max="3588" width="11.140625" style="474" customWidth="1"/>
    <col min="3589" max="3823" width="8.85546875" style="474"/>
    <col min="3824" max="3824" width="38.140625" style="474" customWidth="1"/>
    <col min="3825" max="3825" width="11.85546875" style="474" customWidth="1"/>
    <col min="3826" max="3826" width="45.5703125" style="474" customWidth="1"/>
    <col min="3827" max="3827" width="8.85546875" style="474"/>
    <col min="3828" max="3828" width="13.140625" style="474" customWidth="1"/>
    <col min="3829" max="3829" width="8.85546875" style="474"/>
    <col min="3830" max="3830" width="11.85546875" style="474" customWidth="1"/>
    <col min="3831" max="3831" width="10.5703125" style="474" customWidth="1"/>
    <col min="3832" max="3832" width="11.42578125" style="474" customWidth="1"/>
    <col min="3833" max="3833" width="8.85546875" style="474"/>
    <col min="3834" max="3834" width="10.42578125" style="474" customWidth="1"/>
    <col min="3835" max="3835" width="10.85546875" style="474" customWidth="1"/>
    <col min="3836" max="3836" width="11.42578125" style="474" customWidth="1"/>
    <col min="3837" max="3837" width="12" style="474" customWidth="1"/>
    <col min="3838" max="3838" width="11.85546875" style="474" customWidth="1"/>
    <col min="3839" max="3839" width="8.5703125" style="474" customWidth="1"/>
    <col min="3840" max="3840" width="11.42578125" style="474" customWidth="1"/>
    <col min="3841" max="3841" width="11" style="474" customWidth="1"/>
    <col min="3842" max="3842" width="11.5703125" style="474" customWidth="1"/>
    <col min="3843" max="3843" width="8.85546875" style="474"/>
    <col min="3844" max="3844" width="11.140625" style="474" customWidth="1"/>
    <col min="3845" max="4079" width="8.85546875" style="474"/>
    <col min="4080" max="4080" width="38.140625" style="474" customWidth="1"/>
    <col min="4081" max="4081" width="11.85546875" style="474" customWidth="1"/>
    <col min="4082" max="4082" width="45.5703125" style="474" customWidth="1"/>
    <col min="4083" max="4083" width="8.85546875" style="474"/>
    <col min="4084" max="4084" width="13.140625" style="474" customWidth="1"/>
    <col min="4085" max="4085" width="8.85546875" style="474"/>
    <col min="4086" max="4086" width="11.85546875" style="474" customWidth="1"/>
    <col min="4087" max="4087" width="10.5703125" style="474" customWidth="1"/>
    <col min="4088" max="4088" width="11.42578125" style="474" customWidth="1"/>
    <col min="4089" max="4089" width="8.85546875" style="474"/>
    <col min="4090" max="4090" width="10.42578125" style="474" customWidth="1"/>
    <col min="4091" max="4091" width="10.85546875" style="474" customWidth="1"/>
    <col min="4092" max="4092" width="11.42578125" style="474" customWidth="1"/>
    <col min="4093" max="4093" width="12" style="474" customWidth="1"/>
    <col min="4094" max="4094" width="11.85546875" style="474" customWidth="1"/>
    <col min="4095" max="4095" width="8.5703125" style="474" customWidth="1"/>
    <col min="4096" max="4096" width="11.42578125" style="474" customWidth="1"/>
    <col min="4097" max="4097" width="11" style="474" customWidth="1"/>
    <col min="4098" max="4098" width="11.5703125" style="474" customWidth="1"/>
    <col min="4099" max="4099" width="8.85546875" style="474"/>
    <col min="4100" max="4100" width="11.140625" style="474" customWidth="1"/>
    <col min="4101" max="4335" width="8.85546875" style="474"/>
    <col min="4336" max="4336" width="38.140625" style="474" customWidth="1"/>
    <col min="4337" max="4337" width="11.85546875" style="474" customWidth="1"/>
    <col min="4338" max="4338" width="45.5703125" style="474" customWidth="1"/>
    <col min="4339" max="4339" width="8.85546875" style="474"/>
    <col min="4340" max="4340" width="13.140625" style="474" customWidth="1"/>
    <col min="4341" max="4341" width="8.85546875" style="474"/>
    <col min="4342" max="4342" width="11.85546875" style="474" customWidth="1"/>
    <col min="4343" max="4343" width="10.5703125" style="474" customWidth="1"/>
    <col min="4344" max="4344" width="11.42578125" style="474" customWidth="1"/>
    <col min="4345" max="4345" width="8.85546875" style="474"/>
    <col min="4346" max="4346" width="10.42578125" style="474" customWidth="1"/>
    <col min="4347" max="4347" width="10.85546875" style="474" customWidth="1"/>
    <col min="4348" max="4348" width="11.42578125" style="474" customWidth="1"/>
    <col min="4349" max="4349" width="12" style="474" customWidth="1"/>
    <col min="4350" max="4350" width="11.85546875" style="474" customWidth="1"/>
    <col min="4351" max="4351" width="8.5703125" style="474" customWidth="1"/>
    <col min="4352" max="4352" width="11.42578125" style="474" customWidth="1"/>
    <col min="4353" max="4353" width="11" style="474" customWidth="1"/>
    <col min="4354" max="4354" width="11.5703125" style="474" customWidth="1"/>
    <col min="4355" max="4355" width="8.85546875" style="474"/>
    <col min="4356" max="4356" width="11.140625" style="474" customWidth="1"/>
    <col min="4357" max="4591" width="8.85546875" style="474"/>
    <col min="4592" max="4592" width="38.140625" style="474" customWidth="1"/>
    <col min="4593" max="4593" width="11.85546875" style="474" customWidth="1"/>
    <col min="4594" max="4594" width="45.5703125" style="474" customWidth="1"/>
    <col min="4595" max="4595" width="8.85546875" style="474"/>
    <col min="4596" max="4596" width="13.140625" style="474" customWidth="1"/>
    <col min="4597" max="4597" width="8.85546875" style="474"/>
    <col min="4598" max="4598" width="11.85546875" style="474" customWidth="1"/>
    <col min="4599" max="4599" width="10.5703125" style="474" customWidth="1"/>
    <col min="4600" max="4600" width="11.42578125" style="474" customWidth="1"/>
    <col min="4601" max="4601" width="8.85546875" style="474"/>
    <col min="4602" max="4602" width="10.42578125" style="474" customWidth="1"/>
    <col min="4603" max="4603" width="10.85546875" style="474" customWidth="1"/>
    <col min="4604" max="4604" width="11.42578125" style="474" customWidth="1"/>
    <col min="4605" max="4605" width="12" style="474" customWidth="1"/>
    <col min="4606" max="4606" width="11.85546875" style="474" customWidth="1"/>
    <col min="4607" max="4607" width="8.5703125" style="474" customWidth="1"/>
    <col min="4608" max="4608" width="11.42578125" style="474" customWidth="1"/>
    <col min="4609" max="4609" width="11" style="474" customWidth="1"/>
    <col min="4610" max="4610" width="11.5703125" style="474" customWidth="1"/>
    <col min="4611" max="4611" width="8.85546875" style="474"/>
    <col min="4612" max="4612" width="11.140625" style="474" customWidth="1"/>
    <col min="4613" max="4847" width="8.85546875" style="474"/>
    <col min="4848" max="4848" width="38.140625" style="474" customWidth="1"/>
    <col min="4849" max="4849" width="11.85546875" style="474" customWidth="1"/>
    <col min="4850" max="4850" width="45.5703125" style="474" customWidth="1"/>
    <col min="4851" max="4851" width="8.85546875" style="474"/>
    <col min="4852" max="4852" width="13.140625" style="474" customWidth="1"/>
    <col min="4853" max="4853" width="8.85546875" style="474"/>
    <col min="4854" max="4854" width="11.85546875" style="474" customWidth="1"/>
    <col min="4855" max="4855" width="10.5703125" style="474" customWidth="1"/>
    <col min="4856" max="4856" width="11.42578125" style="474" customWidth="1"/>
    <col min="4857" max="4857" width="8.85546875" style="474"/>
    <col min="4858" max="4858" width="10.42578125" style="474" customWidth="1"/>
    <col min="4859" max="4859" width="10.85546875" style="474" customWidth="1"/>
    <col min="4860" max="4860" width="11.42578125" style="474" customWidth="1"/>
    <col min="4861" max="4861" width="12" style="474" customWidth="1"/>
    <col min="4862" max="4862" width="11.85546875" style="474" customWidth="1"/>
    <col min="4863" max="4863" width="8.5703125" style="474" customWidth="1"/>
    <col min="4864" max="4864" width="11.42578125" style="474" customWidth="1"/>
    <col min="4865" max="4865" width="11" style="474" customWidth="1"/>
    <col min="4866" max="4866" width="11.5703125" style="474" customWidth="1"/>
    <col min="4867" max="4867" width="8.85546875" style="474"/>
    <col min="4868" max="4868" width="11.140625" style="474" customWidth="1"/>
    <col min="4869" max="5103" width="8.85546875" style="474"/>
    <col min="5104" max="5104" width="38.140625" style="474" customWidth="1"/>
    <col min="5105" max="5105" width="11.85546875" style="474" customWidth="1"/>
    <col min="5106" max="5106" width="45.5703125" style="474" customWidth="1"/>
    <col min="5107" max="5107" width="8.85546875" style="474"/>
    <col min="5108" max="5108" width="13.140625" style="474" customWidth="1"/>
    <col min="5109" max="5109" width="8.85546875" style="474"/>
    <col min="5110" max="5110" width="11.85546875" style="474" customWidth="1"/>
    <col min="5111" max="5111" width="10.5703125" style="474" customWidth="1"/>
    <col min="5112" max="5112" width="11.42578125" style="474" customWidth="1"/>
    <col min="5113" max="5113" width="8.85546875" style="474"/>
    <col min="5114" max="5114" width="10.42578125" style="474" customWidth="1"/>
    <col min="5115" max="5115" width="10.85546875" style="474" customWidth="1"/>
    <col min="5116" max="5116" width="11.42578125" style="474" customWidth="1"/>
    <col min="5117" max="5117" width="12" style="474" customWidth="1"/>
    <col min="5118" max="5118" width="11.85546875" style="474" customWidth="1"/>
    <col min="5119" max="5119" width="8.5703125" style="474" customWidth="1"/>
    <col min="5120" max="5120" width="11.42578125" style="474" customWidth="1"/>
    <col min="5121" max="5121" width="11" style="474" customWidth="1"/>
    <col min="5122" max="5122" width="11.5703125" style="474" customWidth="1"/>
    <col min="5123" max="5123" width="8.85546875" style="474"/>
    <col min="5124" max="5124" width="11.140625" style="474" customWidth="1"/>
    <col min="5125" max="5359" width="8.85546875" style="474"/>
    <col min="5360" max="5360" width="38.140625" style="474" customWidth="1"/>
    <col min="5361" max="5361" width="11.85546875" style="474" customWidth="1"/>
    <col min="5362" max="5362" width="45.5703125" style="474" customWidth="1"/>
    <col min="5363" max="5363" width="8.85546875" style="474"/>
    <col min="5364" max="5364" width="13.140625" style="474" customWidth="1"/>
    <col min="5365" max="5365" width="8.85546875" style="474"/>
    <col min="5366" max="5366" width="11.85546875" style="474" customWidth="1"/>
    <col min="5367" max="5367" width="10.5703125" style="474" customWidth="1"/>
    <col min="5368" max="5368" width="11.42578125" style="474" customWidth="1"/>
    <col min="5369" max="5369" width="8.85546875" style="474"/>
    <col min="5370" max="5370" width="10.42578125" style="474" customWidth="1"/>
    <col min="5371" max="5371" width="10.85546875" style="474" customWidth="1"/>
    <col min="5372" max="5372" width="11.42578125" style="474" customWidth="1"/>
    <col min="5373" max="5373" width="12" style="474" customWidth="1"/>
    <col min="5374" max="5374" width="11.85546875" style="474" customWidth="1"/>
    <col min="5375" max="5375" width="8.5703125" style="474" customWidth="1"/>
    <col min="5376" max="5376" width="11.42578125" style="474" customWidth="1"/>
    <col min="5377" max="5377" width="11" style="474" customWidth="1"/>
    <col min="5378" max="5378" width="11.5703125" style="474" customWidth="1"/>
    <col min="5379" max="5379" width="8.85546875" style="474"/>
    <col min="5380" max="5380" width="11.140625" style="474" customWidth="1"/>
    <col min="5381" max="5615" width="8.85546875" style="474"/>
    <col min="5616" max="5616" width="38.140625" style="474" customWidth="1"/>
    <col min="5617" max="5617" width="11.85546875" style="474" customWidth="1"/>
    <col min="5618" max="5618" width="45.5703125" style="474" customWidth="1"/>
    <col min="5619" max="5619" width="8.85546875" style="474"/>
    <col min="5620" max="5620" width="13.140625" style="474" customWidth="1"/>
    <col min="5621" max="5621" width="8.85546875" style="474"/>
    <col min="5622" max="5622" width="11.85546875" style="474" customWidth="1"/>
    <col min="5623" max="5623" width="10.5703125" style="474" customWidth="1"/>
    <col min="5624" max="5624" width="11.42578125" style="474" customWidth="1"/>
    <col min="5625" max="5625" width="8.85546875" style="474"/>
    <col min="5626" max="5626" width="10.42578125" style="474" customWidth="1"/>
    <col min="5627" max="5627" width="10.85546875" style="474" customWidth="1"/>
    <col min="5628" max="5628" width="11.42578125" style="474" customWidth="1"/>
    <col min="5629" max="5629" width="12" style="474" customWidth="1"/>
    <col min="5630" max="5630" width="11.85546875" style="474" customWidth="1"/>
    <col min="5631" max="5631" width="8.5703125" style="474" customWidth="1"/>
    <col min="5632" max="5632" width="11.42578125" style="474" customWidth="1"/>
    <col min="5633" max="5633" width="11" style="474" customWidth="1"/>
    <col min="5634" max="5634" width="11.5703125" style="474" customWidth="1"/>
    <col min="5635" max="5635" width="8.85546875" style="474"/>
    <col min="5636" max="5636" width="11.140625" style="474" customWidth="1"/>
    <col min="5637" max="5871" width="8.85546875" style="474"/>
    <col min="5872" max="5872" width="38.140625" style="474" customWidth="1"/>
    <col min="5873" max="5873" width="11.85546875" style="474" customWidth="1"/>
    <col min="5874" max="5874" width="45.5703125" style="474" customWidth="1"/>
    <col min="5875" max="5875" width="8.85546875" style="474"/>
    <col min="5876" max="5876" width="13.140625" style="474" customWidth="1"/>
    <col min="5877" max="5877" width="8.85546875" style="474"/>
    <col min="5878" max="5878" width="11.85546875" style="474" customWidth="1"/>
    <col min="5879" max="5879" width="10.5703125" style="474" customWidth="1"/>
    <col min="5880" max="5880" width="11.42578125" style="474" customWidth="1"/>
    <col min="5881" max="5881" width="8.85546875" style="474"/>
    <col min="5882" max="5882" width="10.42578125" style="474" customWidth="1"/>
    <col min="5883" max="5883" width="10.85546875" style="474" customWidth="1"/>
    <col min="5884" max="5884" width="11.42578125" style="474" customWidth="1"/>
    <col min="5885" max="5885" width="12" style="474" customWidth="1"/>
    <col min="5886" max="5886" width="11.85546875" style="474" customWidth="1"/>
    <col min="5887" max="5887" width="8.5703125" style="474" customWidth="1"/>
    <col min="5888" max="5888" width="11.42578125" style="474" customWidth="1"/>
    <col min="5889" max="5889" width="11" style="474" customWidth="1"/>
    <col min="5890" max="5890" width="11.5703125" style="474" customWidth="1"/>
    <col min="5891" max="5891" width="8.85546875" style="474"/>
    <col min="5892" max="5892" width="11.140625" style="474" customWidth="1"/>
    <col min="5893" max="6127" width="8.85546875" style="474"/>
    <col min="6128" max="6128" width="38.140625" style="474" customWidth="1"/>
    <col min="6129" max="6129" width="11.85546875" style="474" customWidth="1"/>
    <col min="6130" max="6130" width="45.5703125" style="474" customWidth="1"/>
    <col min="6131" max="6131" width="8.85546875" style="474"/>
    <col min="6132" max="6132" width="13.140625" style="474" customWidth="1"/>
    <col min="6133" max="6133" width="8.85546875" style="474"/>
    <col min="6134" max="6134" width="11.85546875" style="474" customWidth="1"/>
    <col min="6135" max="6135" width="10.5703125" style="474" customWidth="1"/>
    <col min="6136" max="6136" width="11.42578125" style="474" customWidth="1"/>
    <col min="6137" max="6137" width="8.85546875" style="474"/>
    <col min="6138" max="6138" width="10.42578125" style="474" customWidth="1"/>
    <col min="6139" max="6139" width="10.85546875" style="474" customWidth="1"/>
    <col min="6140" max="6140" width="11.42578125" style="474" customWidth="1"/>
    <col min="6141" max="6141" width="12" style="474" customWidth="1"/>
    <col min="6142" max="6142" width="11.85546875" style="474" customWidth="1"/>
    <col min="6143" max="6143" width="8.5703125" style="474" customWidth="1"/>
    <col min="6144" max="6144" width="11.42578125" style="474" customWidth="1"/>
    <col min="6145" max="6145" width="11" style="474" customWidth="1"/>
    <col min="6146" max="6146" width="11.5703125" style="474" customWidth="1"/>
    <col min="6147" max="6147" width="8.85546875" style="474"/>
    <col min="6148" max="6148" width="11.140625" style="474" customWidth="1"/>
    <col min="6149" max="6383" width="8.85546875" style="474"/>
    <col min="6384" max="6384" width="38.140625" style="474" customWidth="1"/>
    <col min="6385" max="6385" width="11.85546875" style="474" customWidth="1"/>
    <col min="6386" max="6386" width="45.5703125" style="474" customWidth="1"/>
    <col min="6387" max="6387" width="8.85546875" style="474"/>
    <col min="6388" max="6388" width="13.140625" style="474" customWidth="1"/>
    <col min="6389" max="6389" width="8.85546875" style="474"/>
    <col min="6390" max="6390" width="11.85546875" style="474" customWidth="1"/>
    <col min="6391" max="6391" width="10.5703125" style="474" customWidth="1"/>
    <col min="6392" max="6392" width="11.42578125" style="474" customWidth="1"/>
    <col min="6393" max="6393" width="8.85546875" style="474"/>
    <col min="6394" max="6394" width="10.42578125" style="474" customWidth="1"/>
    <col min="6395" max="6395" width="10.85546875" style="474" customWidth="1"/>
    <col min="6396" max="6396" width="11.42578125" style="474" customWidth="1"/>
    <col min="6397" max="6397" width="12" style="474" customWidth="1"/>
    <col min="6398" max="6398" width="11.85546875" style="474" customWidth="1"/>
    <col min="6399" max="6399" width="8.5703125" style="474" customWidth="1"/>
    <col min="6400" max="6400" width="11.42578125" style="474" customWidth="1"/>
    <col min="6401" max="6401" width="11" style="474" customWidth="1"/>
    <col min="6402" max="6402" width="11.5703125" style="474" customWidth="1"/>
    <col min="6403" max="6403" width="8.85546875" style="474"/>
    <col min="6404" max="6404" width="11.140625" style="474" customWidth="1"/>
    <col min="6405" max="6639" width="8.85546875" style="474"/>
    <col min="6640" max="6640" width="38.140625" style="474" customWidth="1"/>
    <col min="6641" max="6641" width="11.85546875" style="474" customWidth="1"/>
    <col min="6642" max="6642" width="45.5703125" style="474" customWidth="1"/>
    <col min="6643" max="6643" width="8.85546875" style="474"/>
    <col min="6644" max="6644" width="13.140625" style="474" customWidth="1"/>
    <col min="6645" max="6645" width="8.85546875" style="474"/>
    <col min="6646" max="6646" width="11.85546875" style="474" customWidth="1"/>
    <col min="6647" max="6647" width="10.5703125" style="474" customWidth="1"/>
    <col min="6648" max="6648" width="11.42578125" style="474" customWidth="1"/>
    <col min="6649" max="6649" width="8.85546875" style="474"/>
    <col min="6650" max="6650" width="10.42578125" style="474" customWidth="1"/>
    <col min="6651" max="6651" width="10.85546875" style="474" customWidth="1"/>
    <col min="6652" max="6652" width="11.42578125" style="474" customWidth="1"/>
    <col min="6653" max="6653" width="12" style="474" customWidth="1"/>
    <col min="6654" max="6654" width="11.85546875" style="474" customWidth="1"/>
    <col min="6655" max="6655" width="8.5703125" style="474" customWidth="1"/>
    <col min="6656" max="6656" width="11.42578125" style="474" customWidth="1"/>
    <col min="6657" max="6657" width="11" style="474" customWidth="1"/>
    <col min="6658" max="6658" width="11.5703125" style="474" customWidth="1"/>
    <col min="6659" max="6659" width="8.85546875" style="474"/>
    <col min="6660" max="6660" width="11.140625" style="474" customWidth="1"/>
    <col min="6661" max="6895" width="8.85546875" style="474"/>
    <col min="6896" max="6896" width="38.140625" style="474" customWidth="1"/>
    <col min="6897" max="6897" width="11.85546875" style="474" customWidth="1"/>
    <col min="6898" max="6898" width="45.5703125" style="474" customWidth="1"/>
    <col min="6899" max="6899" width="8.85546875" style="474"/>
    <col min="6900" max="6900" width="13.140625" style="474" customWidth="1"/>
    <col min="6901" max="6901" width="8.85546875" style="474"/>
    <col min="6902" max="6902" width="11.85546875" style="474" customWidth="1"/>
    <col min="6903" max="6903" width="10.5703125" style="474" customWidth="1"/>
    <col min="6904" max="6904" width="11.42578125" style="474" customWidth="1"/>
    <col min="6905" max="6905" width="8.85546875" style="474"/>
    <col min="6906" max="6906" width="10.42578125" style="474" customWidth="1"/>
    <col min="6907" max="6907" width="10.85546875" style="474" customWidth="1"/>
    <col min="6908" max="6908" width="11.42578125" style="474" customWidth="1"/>
    <col min="6909" max="6909" width="12" style="474" customWidth="1"/>
    <col min="6910" max="6910" width="11.85546875" style="474" customWidth="1"/>
    <col min="6911" max="6911" width="8.5703125" style="474" customWidth="1"/>
    <col min="6912" max="6912" width="11.42578125" style="474" customWidth="1"/>
    <col min="6913" max="6913" width="11" style="474" customWidth="1"/>
    <col min="6914" max="6914" width="11.5703125" style="474" customWidth="1"/>
    <col min="6915" max="6915" width="8.85546875" style="474"/>
    <col min="6916" max="6916" width="11.140625" style="474" customWidth="1"/>
    <col min="6917" max="7151" width="8.85546875" style="474"/>
    <col min="7152" max="7152" width="38.140625" style="474" customWidth="1"/>
    <col min="7153" max="7153" width="11.85546875" style="474" customWidth="1"/>
    <col min="7154" max="7154" width="45.5703125" style="474" customWidth="1"/>
    <col min="7155" max="7155" width="8.85546875" style="474"/>
    <col min="7156" max="7156" width="13.140625" style="474" customWidth="1"/>
    <col min="7157" max="7157" width="8.85546875" style="474"/>
    <col min="7158" max="7158" width="11.85546875" style="474" customWidth="1"/>
    <col min="7159" max="7159" width="10.5703125" style="474" customWidth="1"/>
    <col min="7160" max="7160" width="11.42578125" style="474" customWidth="1"/>
    <col min="7161" max="7161" width="8.85546875" style="474"/>
    <col min="7162" max="7162" width="10.42578125" style="474" customWidth="1"/>
    <col min="7163" max="7163" width="10.85546875" style="474" customWidth="1"/>
    <col min="7164" max="7164" width="11.42578125" style="474" customWidth="1"/>
    <col min="7165" max="7165" width="12" style="474" customWidth="1"/>
    <col min="7166" max="7166" width="11.85546875" style="474" customWidth="1"/>
    <col min="7167" max="7167" width="8.5703125" style="474" customWidth="1"/>
    <col min="7168" max="7168" width="11.42578125" style="474" customWidth="1"/>
    <col min="7169" max="7169" width="11" style="474" customWidth="1"/>
    <col min="7170" max="7170" width="11.5703125" style="474" customWidth="1"/>
    <col min="7171" max="7171" width="8.85546875" style="474"/>
    <col min="7172" max="7172" width="11.140625" style="474" customWidth="1"/>
    <col min="7173" max="7407" width="8.85546875" style="474"/>
    <col min="7408" max="7408" width="38.140625" style="474" customWidth="1"/>
    <col min="7409" max="7409" width="11.85546875" style="474" customWidth="1"/>
    <col min="7410" max="7410" width="45.5703125" style="474" customWidth="1"/>
    <col min="7411" max="7411" width="8.85546875" style="474"/>
    <col min="7412" max="7412" width="13.140625" style="474" customWidth="1"/>
    <col min="7413" max="7413" width="8.85546875" style="474"/>
    <col min="7414" max="7414" width="11.85546875" style="474" customWidth="1"/>
    <col min="7415" max="7415" width="10.5703125" style="474" customWidth="1"/>
    <col min="7416" max="7416" width="11.42578125" style="474" customWidth="1"/>
    <col min="7417" max="7417" width="8.85546875" style="474"/>
    <col min="7418" max="7418" width="10.42578125" style="474" customWidth="1"/>
    <col min="7419" max="7419" width="10.85546875" style="474" customWidth="1"/>
    <col min="7420" max="7420" width="11.42578125" style="474" customWidth="1"/>
    <col min="7421" max="7421" width="12" style="474" customWidth="1"/>
    <col min="7422" max="7422" width="11.85546875" style="474" customWidth="1"/>
    <col min="7423" max="7423" width="8.5703125" style="474" customWidth="1"/>
    <col min="7424" max="7424" width="11.42578125" style="474" customWidth="1"/>
    <col min="7425" max="7425" width="11" style="474" customWidth="1"/>
    <col min="7426" max="7426" width="11.5703125" style="474" customWidth="1"/>
    <col min="7427" max="7427" width="8.85546875" style="474"/>
    <col min="7428" max="7428" width="11.140625" style="474" customWidth="1"/>
    <col min="7429" max="7663" width="8.85546875" style="474"/>
    <col min="7664" max="7664" width="38.140625" style="474" customWidth="1"/>
    <col min="7665" max="7665" width="11.85546875" style="474" customWidth="1"/>
    <col min="7666" max="7666" width="45.5703125" style="474" customWidth="1"/>
    <col min="7667" max="7667" width="8.85546875" style="474"/>
    <col min="7668" max="7668" width="13.140625" style="474" customWidth="1"/>
    <col min="7669" max="7669" width="8.85546875" style="474"/>
    <col min="7670" max="7670" width="11.85546875" style="474" customWidth="1"/>
    <col min="7671" max="7671" width="10.5703125" style="474" customWidth="1"/>
    <col min="7672" max="7672" width="11.42578125" style="474" customWidth="1"/>
    <col min="7673" max="7673" width="8.85546875" style="474"/>
    <col min="7674" max="7674" width="10.42578125" style="474" customWidth="1"/>
    <col min="7675" max="7675" width="10.85546875" style="474" customWidth="1"/>
    <col min="7676" max="7676" width="11.42578125" style="474" customWidth="1"/>
    <col min="7677" max="7677" width="12" style="474" customWidth="1"/>
    <col min="7678" max="7678" width="11.85546875" style="474" customWidth="1"/>
    <col min="7679" max="7679" width="8.5703125" style="474" customWidth="1"/>
    <col min="7680" max="7680" width="11.42578125" style="474" customWidth="1"/>
    <col min="7681" max="7681" width="11" style="474" customWidth="1"/>
    <col min="7682" max="7682" width="11.5703125" style="474" customWidth="1"/>
    <col min="7683" max="7683" width="8.85546875" style="474"/>
    <col min="7684" max="7684" width="11.140625" style="474" customWidth="1"/>
    <col min="7685" max="7919" width="8.85546875" style="474"/>
    <col min="7920" max="7920" width="38.140625" style="474" customWidth="1"/>
    <col min="7921" max="7921" width="11.85546875" style="474" customWidth="1"/>
    <col min="7922" max="7922" width="45.5703125" style="474" customWidth="1"/>
    <col min="7923" max="7923" width="8.85546875" style="474"/>
    <col min="7924" max="7924" width="13.140625" style="474" customWidth="1"/>
    <col min="7925" max="7925" width="8.85546875" style="474"/>
    <col min="7926" max="7926" width="11.85546875" style="474" customWidth="1"/>
    <col min="7927" max="7927" width="10.5703125" style="474" customWidth="1"/>
    <col min="7928" max="7928" width="11.42578125" style="474" customWidth="1"/>
    <col min="7929" max="7929" width="8.85546875" style="474"/>
    <col min="7930" max="7930" width="10.42578125" style="474" customWidth="1"/>
    <col min="7931" max="7931" width="10.85546875" style="474" customWidth="1"/>
    <col min="7932" max="7932" width="11.42578125" style="474" customWidth="1"/>
    <col min="7933" max="7933" width="12" style="474" customWidth="1"/>
    <col min="7934" max="7934" width="11.85546875" style="474" customWidth="1"/>
    <col min="7935" max="7935" width="8.5703125" style="474" customWidth="1"/>
    <col min="7936" max="7936" width="11.42578125" style="474" customWidth="1"/>
    <col min="7937" max="7937" width="11" style="474" customWidth="1"/>
    <col min="7938" max="7938" width="11.5703125" style="474" customWidth="1"/>
    <col min="7939" max="7939" width="8.85546875" style="474"/>
    <col min="7940" max="7940" width="11.140625" style="474" customWidth="1"/>
    <col min="7941" max="8175" width="8.85546875" style="474"/>
    <col min="8176" max="8176" width="38.140625" style="474" customWidth="1"/>
    <col min="8177" max="8177" width="11.85546875" style="474" customWidth="1"/>
    <col min="8178" max="8178" width="45.5703125" style="474" customWidth="1"/>
    <col min="8179" max="8179" width="8.85546875" style="474"/>
    <col min="8180" max="8180" width="13.140625" style="474" customWidth="1"/>
    <col min="8181" max="8181" width="8.85546875" style="474"/>
    <col min="8182" max="8182" width="11.85546875" style="474" customWidth="1"/>
    <col min="8183" max="8183" width="10.5703125" style="474" customWidth="1"/>
    <col min="8184" max="8184" width="11.42578125" style="474" customWidth="1"/>
    <col min="8185" max="8185" width="8.85546875" style="474"/>
    <col min="8186" max="8186" width="10.42578125" style="474" customWidth="1"/>
    <col min="8187" max="8187" width="10.85546875" style="474" customWidth="1"/>
    <col min="8188" max="8188" width="11.42578125" style="474" customWidth="1"/>
    <col min="8189" max="8189" width="12" style="474" customWidth="1"/>
    <col min="8190" max="8190" width="11.85546875" style="474" customWidth="1"/>
    <col min="8191" max="8191" width="8.5703125" style="474" customWidth="1"/>
    <col min="8192" max="8192" width="11.42578125" style="474" customWidth="1"/>
    <col min="8193" max="8193" width="11" style="474" customWidth="1"/>
    <col min="8194" max="8194" width="11.5703125" style="474" customWidth="1"/>
    <col min="8195" max="8195" width="8.85546875" style="474"/>
    <col min="8196" max="8196" width="11.140625" style="474" customWidth="1"/>
    <col min="8197" max="8431" width="8.85546875" style="474"/>
    <col min="8432" max="8432" width="38.140625" style="474" customWidth="1"/>
    <col min="8433" max="8433" width="11.85546875" style="474" customWidth="1"/>
    <col min="8434" max="8434" width="45.5703125" style="474" customWidth="1"/>
    <col min="8435" max="8435" width="8.85546875" style="474"/>
    <col min="8436" max="8436" width="13.140625" style="474" customWidth="1"/>
    <col min="8437" max="8437" width="8.85546875" style="474"/>
    <col min="8438" max="8438" width="11.85546875" style="474" customWidth="1"/>
    <col min="8439" max="8439" width="10.5703125" style="474" customWidth="1"/>
    <col min="8440" max="8440" width="11.42578125" style="474" customWidth="1"/>
    <col min="8441" max="8441" width="8.85546875" style="474"/>
    <col min="8442" max="8442" width="10.42578125" style="474" customWidth="1"/>
    <col min="8443" max="8443" width="10.85546875" style="474" customWidth="1"/>
    <col min="8444" max="8444" width="11.42578125" style="474" customWidth="1"/>
    <col min="8445" max="8445" width="12" style="474" customWidth="1"/>
    <col min="8446" max="8446" width="11.85546875" style="474" customWidth="1"/>
    <col min="8447" max="8447" width="8.5703125" style="474" customWidth="1"/>
    <col min="8448" max="8448" width="11.42578125" style="474" customWidth="1"/>
    <col min="8449" max="8449" width="11" style="474" customWidth="1"/>
    <col min="8450" max="8450" width="11.5703125" style="474" customWidth="1"/>
    <col min="8451" max="8451" width="8.85546875" style="474"/>
    <col min="8452" max="8452" width="11.140625" style="474" customWidth="1"/>
    <col min="8453" max="8687" width="8.85546875" style="474"/>
    <col min="8688" max="8688" width="38.140625" style="474" customWidth="1"/>
    <col min="8689" max="8689" width="11.85546875" style="474" customWidth="1"/>
    <col min="8690" max="8690" width="45.5703125" style="474" customWidth="1"/>
    <col min="8691" max="8691" width="8.85546875" style="474"/>
    <col min="8692" max="8692" width="13.140625" style="474" customWidth="1"/>
    <col min="8693" max="8693" width="8.85546875" style="474"/>
    <col min="8694" max="8694" width="11.85546875" style="474" customWidth="1"/>
    <col min="8695" max="8695" width="10.5703125" style="474" customWidth="1"/>
    <col min="8696" max="8696" width="11.42578125" style="474" customWidth="1"/>
    <col min="8697" max="8697" width="8.85546875" style="474"/>
    <col min="8698" max="8698" width="10.42578125" style="474" customWidth="1"/>
    <col min="8699" max="8699" width="10.85546875" style="474" customWidth="1"/>
    <col min="8700" max="8700" width="11.42578125" style="474" customWidth="1"/>
    <col min="8701" max="8701" width="12" style="474" customWidth="1"/>
    <col min="8702" max="8702" width="11.85546875" style="474" customWidth="1"/>
    <col min="8703" max="8703" width="8.5703125" style="474" customWidth="1"/>
    <col min="8704" max="8704" width="11.42578125" style="474" customWidth="1"/>
    <col min="8705" max="8705" width="11" style="474" customWidth="1"/>
    <col min="8706" max="8706" width="11.5703125" style="474" customWidth="1"/>
    <col min="8707" max="8707" width="8.85546875" style="474"/>
    <col min="8708" max="8708" width="11.140625" style="474" customWidth="1"/>
    <col min="8709" max="8943" width="8.85546875" style="474"/>
    <col min="8944" max="8944" width="38.140625" style="474" customWidth="1"/>
    <col min="8945" max="8945" width="11.85546875" style="474" customWidth="1"/>
    <col min="8946" max="8946" width="45.5703125" style="474" customWidth="1"/>
    <col min="8947" max="8947" width="8.85546875" style="474"/>
    <col min="8948" max="8948" width="13.140625" style="474" customWidth="1"/>
    <col min="8949" max="8949" width="8.85546875" style="474"/>
    <col min="8950" max="8950" width="11.85546875" style="474" customWidth="1"/>
    <col min="8951" max="8951" width="10.5703125" style="474" customWidth="1"/>
    <col min="8952" max="8952" width="11.42578125" style="474" customWidth="1"/>
    <col min="8953" max="8953" width="8.85546875" style="474"/>
    <col min="8954" max="8954" width="10.42578125" style="474" customWidth="1"/>
    <col min="8955" max="8955" width="10.85546875" style="474" customWidth="1"/>
    <col min="8956" max="8956" width="11.42578125" style="474" customWidth="1"/>
    <col min="8957" max="8957" width="12" style="474" customWidth="1"/>
    <col min="8958" max="8958" width="11.85546875" style="474" customWidth="1"/>
    <col min="8959" max="8959" width="8.5703125" style="474" customWidth="1"/>
    <col min="8960" max="8960" width="11.42578125" style="474" customWidth="1"/>
    <col min="8961" max="8961" width="11" style="474" customWidth="1"/>
    <col min="8962" max="8962" width="11.5703125" style="474" customWidth="1"/>
    <col min="8963" max="8963" width="8.85546875" style="474"/>
    <col min="8964" max="8964" width="11.140625" style="474" customWidth="1"/>
    <col min="8965" max="9199" width="8.85546875" style="474"/>
    <col min="9200" max="9200" width="38.140625" style="474" customWidth="1"/>
    <col min="9201" max="9201" width="11.85546875" style="474" customWidth="1"/>
    <col min="9202" max="9202" width="45.5703125" style="474" customWidth="1"/>
    <col min="9203" max="9203" width="8.85546875" style="474"/>
    <col min="9204" max="9204" width="13.140625" style="474" customWidth="1"/>
    <col min="9205" max="9205" width="8.85546875" style="474"/>
    <col min="9206" max="9206" width="11.85546875" style="474" customWidth="1"/>
    <col min="9207" max="9207" width="10.5703125" style="474" customWidth="1"/>
    <col min="9208" max="9208" width="11.42578125" style="474" customWidth="1"/>
    <col min="9209" max="9209" width="8.85546875" style="474"/>
    <col min="9210" max="9210" width="10.42578125" style="474" customWidth="1"/>
    <col min="9211" max="9211" width="10.85546875" style="474" customWidth="1"/>
    <col min="9212" max="9212" width="11.42578125" style="474" customWidth="1"/>
    <col min="9213" max="9213" width="12" style="474" customWidth="1"/>
    <col min="9214" max="9214" width="11.85546875" style="474" customWidth="1"/>
    <col min="9215" max="9215" width="8.5703125" style="474" customWidth="1"/>
    <col min="9216" max="9216" width="11.42578125" style="474" customWidth="1"/>
    <col min="9217" max="9217" width="11" style="474" customWidth="1"/>
    <col min="9218" max="9218" width="11.5703125" style="474" customWidth="1"/>
    <col min="9219" max="9219" width="8.85546875" style="474"/>
    <col min="9220" max="9220" width="11.140625" style="474" customWidth="1"/>
    <col min="9221" max="9455" width="8.85546875" style="474"/>
    <col min="9456" max="9456" width="38.140625" style="474" customWidth="1"/>
    <col min="9457" max="9457" width="11.85546875" style="474" customWidth="1"/>
    <col min="9458" max="9458" width="45.5703125" style="474" customWidth="1"/>
    <col min="9459" max="9459" width="8.85546875" style="474"/>
    <col min="9460" max="9460" width="13.140625" style="474" customWidth="1"/>
    <col min="9461" max="9461" width="8.85546875" style="474"/>
    <col min="9462" max="9462" width="11.85546875" style="474" customWidth="1"/>
    <col min="9463" max="9463" width="10.5703125" style="474" customWidth="1"/>
    <col min="9464" max="9464" width="11.42578125" style="474" customWidth="1"/>
    <col min="9465" max="9465" width="8.85546875" style="474"/>
    <col min="9466" max="9466" width="10.42578125" style="474" customWidth="1"/>
    <col min="9467" max="9467" width="10.85546875" style="474" customWidth="1"/>
    <col min="9468" max="9468" width="11.42578125" style="474" customWidth="1"/>
    <col min="9469" max="9469" width="12" style="474" customWidth="1"/>
    <col min="9470" max="9470" width="11.85546875" style="474" customWidth="1"/>
    <col min="9471" max="9471" width="8.5703125" style="474" customWidth="1"/>
    <col min="9472" max="9472" width="11.42578125" style="474" customWidth="1"/>
    <col min="9473" max="9473" width="11" style="474" customWidth="1"/>
    <col min="9474" max="9474" width="11.5703125" style="474" customWidth="1"/>
    <col min="9475" max="9475" width="8.85546875" style="474"/>
    <col min="9476" max="9476" width="11.140625" style="474" customWidth="1"/>
    <col min="9477" max="9711" width="8.85546875" style="474"/>
    <col min="9712" max="9712" width="38.140625" style="474" customWidth="1"/>
    <col min="9713" max="9713" width="11.85546875" style="474" customWidth="1"/>
    <col min="9714" max="9714" width="45.5703125" style="474" customWidth="1"/>
    <col min="9715" max="9715" width="8.85546875" style="474"/>
    <col min="9716" max="9716" width="13.140625" style="474" customWidth="1"/>
    <col min="9717" max="9717" width="8.85546875" style="474"/>
    <col min="9718" max="9718" width="11.85546875" style="474" customWidth="1"/>
    <col min="9719" max="9719" width="10.5703125" style="474" customWidth="1"/>
    <col min="9720" max="9720" width="11.42578125" style="474" customWidth="1"/>
    <col min="9721" max="9721" width="8.85546875" style="474"/>
    <col min="9722" max="9722" width="10.42578125" style="474" customWidth="1"/>
    <col min="9723" max="9723" width="10.85546875" style="474" customWidth="1"/>
    <col min="9724" max="9724" width="11.42578125" style="474" customWidth="1"/>
    <col min="9725" max="9725" width="12" style="474" customWidth="1"/>
    <col min="9726" max="9726" width="11.85546875" style="474" customWidth="1"/>
    <col min="9727" max="9727" width="8.5703125" style="474" customWidth="1"/>
    <col min="9728" max="9728" width="11.42578125" style="474" customWidth="1"/>
    <col min="9729" max="9729" width="11" style="474" customWidth="1"/>
    <col min="9730" max="9730" width="11.5703125" style="474" customWidth="1"/>
    <col min="9731" max="9731" width="8.85546875" style="474"/>
    <col min="9732" max="9732" width="11.140625" style="474" customWidth="1"/>
    <col min="9733" max="9967" width="8.85546875" style="474"/>
    <col min="9968" max="9968" width="38.140625" style="474" customWidth="1"/>
    <col min="9969" max="9969" width="11.85546875" style="474" customWidth="1"/>
    <col min="9970" max="9970" width="45.5703125" style="474" customWidth="1"/>
    <col min="9971" max="9971" width="8.85546875" style="474"/>
    <col min="9972" max="9972" width="13.140625" style="474" customWidth="1"/>
    <col min="9973" max="9973" width="8.85546875" style="474"/>
    <col min="9974" max="9974" width="11.85546875" style="474" customWidth="1"/>
    <col min="9975" max="9975" width="10.5703125" style="474" customWidth="1"/>
    <col min="9976" max="9976" width="11.42578125" style="474" customWidth="1"/>
    <col min="9977" max="9977" width="8.85546875" style="474"/>
    <col min="9978" max="9978" width="10.42578125" style="474" customWidth="1"/>
    <col min="9979" max="9979" width="10.85546875" style="474" customWidth="1"/>
    <col min="9980" max="9980" width="11.42578125" style="474" customWidth="1"/>
    <col min="9981" max="9981" width="12" style="474" customWidth="1"/>
    <col min="9982" max="9982" width="11.85546875" style="474" customWidth="1"/>
    <col min="9983" max="9983" width="8.5703125" style="474" customWidth="1"/>
    <col min="9984" max="9984" width="11.42578125" style="474" customWidth="1"/>
    <col min="9985" max="9985" width="11" style="474" customWidth="1"/>
    <col min="9986" max="9986" width="11.5703125" style="474" customWidth="1"/>
    <col min="9987" max="9987" width="8.85546875" style="474"/>
    <col min="9988" max="9988" width="11.140625" style="474" customWidth="1"/>
    <col min="9989" max="10223" width="8.85546875" style="474"/>
    <col min="10224" max="10224" width="38.140625" style="474" customWidth="1"/>
    <col min="10225" max="10225" width="11.85546875" style="474" customWidth="1"/>
    <col min="10226" max="10226" width="45.5703125" style="474" customWidth="1"/>
    <col min="10227" max="10227" width="8.85546875" style="474"/>
    <col min="10228" max="10228" width="13.140625" style="474" customWidth="1"/>
    <col min="10229" max="10229" width="8.85546875" style="474"/>
    <col min="10230" max="10230" width="11.85546875" style="474" customWidth="1"/>
    <col min="10231" max="10231" width="10.5703125" style="474" customWidth="1"/>
    <col min="10232" max="10232" width="11.42578125" style="474" customWidth="1"/>
    <col min="10233" max="10233" width="8.85546875" style="474"/>
    <col min="10234" max="10234" width="10.42578125" style="474" customWidth="1"/>
    <col min="10235" max="10235" width="10.85546875" style="474" customWidth="1"/>
    <col min="10236" max="10236" width="11.42578125" style="474" customWidth="1"/>
    <col min="10237" max="10237" width="12" style="474" customWidth="1"/>
    <col min="10238" max="10238" width="11.85546875" style="474" customWidth="1"/>
    <col min="10239" max="10239" width="8.5703125" style="474" customWidth="1"/>
    <col min="10240" max="10240" width="11.42578125" style="474" customWidth="1"/>
    <col min="10241" max="10241" width="11" style="474" customWidth="1"/>
    <col min="10242" max="10242" width="11.5703125" style="474" customWidth="1"/>
    <col min="10243" max="10243" width="8.85546875" style="474"/>
    <col min="10244" max="10244" width="11.140625" style="474" customWidth="1"/>
    <col min="10245" max="10479" width="8.85546875" style="474"/>
    <col min="10480" max="10480" width="38.140625" style="474" customWidth="1"/>
    <col min="10481" max="10481" width="11.85546875" style="474" customWidth="1"/>
    <col min="10482" max="10482" width="45.5703125" style="474" customWidth="1"/>
    <col min="10483" max="10483" width="8.85546875" style="474"/>
    <col min="10484" max="10484" width="13.140625" style="474" customWidth="1"/>
    <col min="10485" max="10485" width="8.85546875" style="474"/>
    <col min="10486" max="10486" width="11.85546875" style="474" customWidth="1"/>
    <col min="10487" max="10487" width="10.5703125" style="474" customWidth="1"/>
    <col min="10488" max="10488" width="11.42578125" style="474" customWidth="1"/>
    <col min="10489" max="10489" width="8.85546875" style="474"/>
    <col min="10490" max="10490" width="10.42578125" style="474" customWidth="1"/>
    <col min="10491" max="10491" width="10.85546875" style="474" customWidth="1"/>
    <col min="10492" max="10492" width="11.42578125" style="474" customWidth="1"/>
    <col min="10493" max="10493" width="12" style="474" customWidth="1"/>
    <col min="10494" max="10494" width="11.85546875" style="474" customWidth="1"/>
    <col min="10495" max="10495" width="8.5703125" style="474" customWidth="1"/>
    <col min="10496" max="10496" width="11.42578125" style="474" customWidth="1"/>
    <col min="10497" max="10497" width="11" style="474" customWidth="1"/>
    <col min="10498" max="10498" width="11.5703125" style="474" customWidth="1"/>
    <col min="10499" max="10499" width="8.85546875" style="474"/>
    <col min="10500" max="10500" width="11.140625" style="474" customWidth="1"/>
    <col min="10501" max="10735" width="8.85546875" style="474"/>
    <col min="10736" max="10736" width="38.140625" style="474" customWidth="1"/>
    <col min="10737" max="10737" width="11.85546875" style="474" customWidth="1"/>
    <col min="10738" max="10738" width="45.5703125" style="474" customWidth="1"/>
    <col min="10739" max="10739" width="8.85546875" style="474"/>
    <col min="10740" max="10740" width="13.140625" style="474" customWidth="1"/>
    <col min="10741" max="10741" width="8.85546875" style="474"/>
    <col min="10742" max="10742" width="11.85546875" style="474" customWidth="1"/>
    <col min="10743" max="10743" width="10.5703125" style="474" customWidth="1"/>
    <col min="10744" max="10744" width="11.42578125" style="474" customWidth="1"/>
    <col min="10745" max="10745" width="8.85546875" style="474"/>
    <col min="10746" max="10746" width="10.42578125" style="474" customWidth="1"/>
    <col min="10747" max="10747" width="10.85546875" style="474" customWidth="1"/>
    <col min="10748" max="10748" width="11.42578125" style="474" customWidth="1"/>
    <col min="10749" max="10749" width="12" style="474" customWidth="1"/>
    <col min="10750" max="10750" width="11.85546875" style="474" customWidth="1"/>
    <col min="10751" max="10751" width="8.5703125" style="474" customWidth="1"/>
    <col min="10752" max="10752" width="11.42578125" style="474" customWidth="1"/>
    <col min="10753" max="10753" width="11" style="474" customWidth="1"/>
    <col min="10754" max="10754" width="11.5703125" style="474" customWidth="1"/>
    <col min="10755" max="10755" width="8.85546875" style="474"/>
    <col min="10756" max="10756" width="11.140625" style="474" customWidth="1"/>
    <col min="10757" max="10991" width="8.85546875" style="474"/>
    <col min="10992" max="10992" width="38.140625" style="474" customWidth="1"/>
    <col min="10993" max="10993" width="11.85546875" style="474" customWidth="1"/>
    <col min="10994" max="10994" width="45.5703125" style="474" customWidth="1"/>
    <col min="10995" max="10995" width="8.85546875" style="474"/>
    <col min="10996" max="10996" width="13.140625" style="474" customWidth="1"/>
    <col min="10997" max="10997" width="8.85546875" style="474"/>
    <col min="10998" max="10998" width="11.85546875" style="474" customWidth="1"/>
    <col min="10999" max="10999" width="10.5703125" style="474" customWidth="1"/>
    <col min="11000" max="11000" width="11.42578125" style="474" customWidth="1"/>
    <col min="11001" max="11001" width="8.85546875" style="474"/>
    <col min="11002" max="11002" width="10.42578125" style="474" customWidth="1"/>
    <col min="11003" max="11003" width="10.85546875" style="474" customWidth="1"/>
    <col min="11004" max="11004" width="11.42578125" style="474" customWidth="1"/>
    <col min="11005" max="11005" width="12" style="474" customWidth="1"/>
    <col min="11006" max="11006" width="11.85546875" style="474" customWidth="1"/>
    <col min="11007" max="11007" width="8.5703125" style="474" customWidth="1"/>
    <col min="11008" max="11008" width="11.42578125" style="474" customWidth="1"/>
    <col min="11009" max="11009" width="11" style="474" customWidth="1"/>
    <col min="11010" max="11010" width="11.5703125" style="474" customWidth="1"/>
    <col min="11011" max="11011" width="8.85546875" style="474"/>
    <col min="11012" max="11012" width="11.140625" style="474" customWidth="1"/>
    <col min="11013" max="11247" width="8.85546875" style="474"/>
    <col min="11248" max="11248" width="38.140625" style="474" customWidth="1"/>
    <col min="11249" max="11249" width="11.85546875" style="474" customWidth="1"/>
    <col min="11250" max="11250" width="45.5703125" style="474" customWidth="1"/>
    <col min="11251" max="11251" width="8.85546875" style="474"/>
    <col min="11252" max="11252" width="13.140625" style="474" customWidth="1"/>
    <col min="11253" max="11253" width="8.85546875" style="474"/>
    <col min="11254" max="11254" width="11.85546875" style="474" customWidth="1"/>
    <col min="11255" max="11255" width="10.5703125" style="474" customWidth="1"/>
    <col min="11256" max="11256" width="11.42578125" style="474" customWidth="1"/>
    <col min="11257" max="11257" width="8.85546875" style="474"/>
    <col min="11258" max="11258" width="10.42578125" style="474" customWidth="1"/>
    <col min="11259" max="11259" width="10.85546875" style="474" customWidth="1"/>
    <col min="11260" max="11260" width="11.42578125" style="474" customWidth="1"/>
    <col min="11261" max="11261" width="12" style="474" customWidth="1"/>
    <col min="11262" max="11262" width="11.85546875" style="474" customWidth="1"/>
    <col min="11263" max="11263" width="8.5703125" style="474" customWidth="1"/>
    <col min="11264" max="11264" width="11.42578125" style="474" customWidth="1"/>
    <col min="11265" max="11265" width="11" style="474" customWidth="1"/>
    <col min="11266" max="11266" width="11.5703125" style="474" customWidth="1"/>
    <col min="11267" max="11267" width="8.85546875" style="474"/>
    <col min="11268" max="11268" width="11.140625" style="474" customWidth="1"/>
    <col min="11269" max="11503" width="8.85546875" style="474"/>
    <col min="11504" max="11504" width="38.140625" style="474" customWidth="1"/>
    <col min="11505" max="11505" width="11.85546875" style="474" customWidth="1"/>
    <col min="11506" max="11506" width="45.5703125" style="474" customWidth="1"/>
    <col min="11507" max="11507" width="8.85546875" style="474"/>
    <col min="11508" max="11508" width="13.140625" style="474" customWidth="1"/>
    <col min="11509" max="11509" width="8.85546875" style="474"/>
    <col min="11510" max="11510" width="11.85546875" style="474" customWidth="1"/>
    <col min="11511" max="11511" width="10.5703125" style="474" customWidth="1"/>
    <col min="11512" max="11512" width="11.42578125" style="474" customWidth="1"/>
    <col min="11513" max="11513" width="8.85546875" style="474"/>
    <col min="11514" max="11514" width="10.42578125" style="474" customWidth="1"/>
    <col min="11515" max="11515" width="10.85546875" style="474" customWidth="1"/>
    <col min="11516" max="11516" width="11.42578125" style="474" customWidth="1"/>
    <col min="11517" max="11517" width="12" style="474" customWidth="1"/>
    <col min="11518" max="11518" width="11.85546875" style="474" customWidth="1"/>
    <col min="11519" max="11519" width="8.5703125" style="474" customWidth="1"/>
    <col min="11520" max="11520" width="11.42578125" style="474" customWidth="1"/>
    <col min="11521" max="11521" width="11" style="474" customWidth="1"/>
    <col min="11522" max="11522" width="11.5703125" style="474" customWidth="1"/>
    <col min="11523" max="11523" width="8.85546875" style="474"/>
    <col min="11524" max="11524" width="11.140625" style="474" customWidth="1"/>
    <col min="11525" max="11759" width="8.85546875" style="474"/>
    <col min="11760" max="11760" width="38.140625" style="474" customWidth="1"/>
    <col min="11761" max="11761" width="11.85546875" style="474" customWidth="1"/>
    <col min="11762" max="11762" width="45.5703125" style="474" customWidth="1"/>
    <col min="11763" max="11763" width="8.85546875" style="474"/>
    <col min="11764" max="11764" width="13.140625" style="474" customWidth="1"/>
    <col min="11765" max="11765" width="8.85546875" style="474"/>
    <col min="11766" max="11766" width="11.85546875" style="474" customWidth="1"/>
    <col min="11767" max="11767" width="10.5703125" style="474" customWidth="1"/>
    <col min="11768" max="11768" width="11.42578125" style="474" customWidth="1"/>
    <col min="11769" max="11769" width="8.85546875" style="474"/>
    <col min="11770" max="11770" width="10.42578125" style="474" customWidth="1"/>
    <col min="11771" max="11771" width="10.85546875" style="474" customWidth="1"/>
    <col min="11772" max="11772" width="11.42578125" style="474" customWidth="1"/>
    <col min="11773" max="11773" width="12" style="474" customWidth="1"/>
    <col min="11774" max="11774" width="11.85546875" style="474" customWidth="1"/>
    <col min="11775" max="11775" width="8.5703125" style="474" customWidth="1"/>
    <col min="11776" max="11776" width="11.42578125" style="474" customWidth="1"/>
    <col min="11777" max="11777" width="11" style="474" customWidth="1"/>
    <col min="11778" max="11778" width="11.5703125" style="474" customWidth="1"/>
    <col min="11779" max="11779" width="8.85546875" style="474"/>
    <col min="11780" max="11780" width="11.140625" style="474" customWidth="1"/>
    <col min="11781" max="12015" width="8.85546875" style="474"/>
    <col min="12016" max="12016" width="38.140625" style="474" customWidth="1"/>
    <col min="12017" max="12017" width="11.85546875" style="474" customWidth="1"/>
    <col min="12018" max="12018" width="45.5703125" style="474" customWidth="1"/>
    <col min="12019" max="12019" width="8.85546875" style="474"/>
    <col min="12020" max="12020" width="13.140625" style="474" customWidth="1"/>
    <col min="12021" max="12021" width="8.85546875" style="474"/>
    <col min="12022" max="12022" width="11.85546875" style="474" customWidth="1"/>
    <col min="12023" max="12023" width="10.5703125" style="474" customWidth="1"/>
    <col min="12024" max="12024" width="11.42578125" style="474" customWidth="1"/>
    <col min="12025" max="12025" width="8.85546875" style="474"/>
    <col min="12026" max="12026" width="10.42578125" style="474" customWidth="1"/>
    <col min="12027" max="12027" width="10.85546875" style="474" customWidth="1"/>
    <col min="12028" max="12028" width="11.42578125" style="474" customWidth="1"/>
    <col min="12029" max="12029" width="12" style="474" customWidth="1"/>
    <col min="12030" max="12030" width="11.85546875" style="474" customWidth="1"/>
    <col min="12031" max="12031" width="8.5703125" style="474" customWidth="1"/>
    <col min="12032" max="12032" width="11.42578125" style="474" customWidth="1"/>
    <col min="12033" max="12033" width="11" style="474" customWidth="1"/>
    <col min="12034" max="12034" width="11.5703125" style="474" customWidth="1"/>
    <col min="12035" max="12035" width="8.85546875" style="474"/>
    <col min="12036" max="12036" width="11.140625" style="474" customWidth="1"/>
    <col min="12037" max="12271" width="8.85546875" style="474"/>
    <col min="12272" max="12272" width="38.140625" style="474" customWidth="1"/>
    <col min="12273" max="12273" width="11.85546875" style="474" customWidth="1"/>
    <col min="12274" max="12274" width="45.5703125" style="474" customWidth="1"/>
    <col min="12275" max="12275" width="8.85546875" style="474"/>
    <col min="12276" max="12276" width="13.140625" style="474" customWidth="1"/>
    <col min="12277" max="12277" width="8.85546875" style="474"/>
    <col min="12278" max="12278" width="11.85546875" style="474" customWidth="1"/>
    <col min="12279" max="12279" width="10.5703125" style="474" customWidth="1"/>
    <col min="12280" max="12280" width="11.42578125" style="474" customWidth="1"/>
    <col min="12281" max="12281" width="8.85546875" style="474"/>
    <col min="12282" max="12282" width="10.42578125" style="474" customWidth="1"/>
    <col min="12283" max="12283" width="10.85546875" style="474" customWidth="1"/>
    <col min="12284" max="12284" width="11.42578125" style="474" customWidth="1"/>
    <col min="12285" max="12285" width="12" style="474" customWidth="1"/>
    <col min="12286" max="12286" width="11.85546875" style="474" customWidth="1"/>
    <col min="12287" max="12287" width="8.5703125" style="474" customWidth="1"/>
    <col min="12288" max="12288" width="11.42578125" style="474" customWidth="1"/>
    <col min="12289" max="12289" width="11" style="474" customWidth="1"/>
    <col min="12290" max="12290" width="11.5703125" style="474" customWidth="1"/>
    <col min="12291" max="12291" width="8.85546875" style="474"/>
    <col min="12292" max="12292" width="11.140625" style="474" customWidth="1"/>
    <col min="12293" max="12527" width="8.85546875" style="474"/>
    <col min="12528" max="12528" width="38.140625" style="474" customWidth="1"/>
    <col min="12529" max="12529" width="11.85546875" style="474" customWidth="1"/>
    <col min="12530" max="12530" width="45.5703125" style="474" customWidth="1"/>
    <col min="12531" max="12531" width="8.85546875" style="474"/>
    <col min="12532" max="12532" width="13.140625" style="474" customWidth="1"/>
    <col min="12533" max="12533" width="8.85546875" style="474"/>
    <col min="12534" max="12534" width="11.85546875" style="474" customWidth="1"/>
    <col min="12535" max="12535" width="10.5703125" style="474" customWidth="1"/>
    <col min="12536" max="12536" width="11.42578125" style="474" customWidth="1"/>
    <col min="12537" max="12537" width="8.85546875" style="474"/>
    <col min="12538" max="12538" width="10.42578125" style="474" customWidth="1"/>
    <col min="12539" max="12539" width="10.85546875" style="474" customWidth="1"/>
    <col min="12540" max="12540" width="11.42578125" style="474" customWidth="1"/>
    <col min="12541" max="12541" width="12" style="474" customWidth="1"/>
    <col min="12542" max="12542" width="11.85546875" style="474" customWidth="1"/>
    <col min="12543" max="12543" width="8.5703125" style="474" customWidth="1"/>
    <col min="12544" max="12544" width="11.42578125" style="474" customWidth="1"/>
    <col min="12545" max="12545" width="11" style="474" customWidth="1"/>
    <col min="12546" max="12546" width="11.5703125" style="474" customWidth="1"/>
    <col min="12547" max="12547" width="8.85546875" style="474"/>
    <col min="12548" max="12548" width="11.140625" style="474" customWidth="1"/>
    <col min="12549" max="12783" width="8.85546875" style="474"/>
    <col min="12784" max="12784" width="38.140625" style="474" customWidth="1"/>
    <col min="12785" max="12785" width="11.85546875" style="474" customWidth="1"/>
    <col min="12786" max="12786" width="45.5703125" style="474" customWidth="1"/>
    <col min="12787" max="12787" width="8.85546875" style="474"/>
    <col min="12788" max="12788" width="13.140625" style="474" customWidth="1"/>
    <col min="12789" max="12789" width="8.85546875" style="474"/>
    <col min="12790" max="12790" width="11.85546875" style="474" customWidth="1"/>
    <col min="12791" max="12791" width="10.5703125" style="474" customWidth="1"/>
    <col min="12792" max="12792" width="11.42578125" style="474" customWidth="1"/>
    <col min="12793" max="12793" width="8.85546875" style="474"/>
    <col min="12794" max="12794" width="10.42578125" style="474" customWidth="1"/>
    <col min="12795" max="12795" width="10.85546875" style="474" customWidth="1"/>
    <col min="12796" max="12796" width="11.42578125" style="474" customWidth="1"/>
    <col min="12797" max="12797" width="12" style="474" customWidth="1"/>
    <col min="12798" max="12798" width="11.85546875" style="474" customWidth="1"/>
    <col min="12799" max="12799" width="8.5703125" style="474" customWidth="1"/>
    <col min="12800" max="12800" width="11.42578125" style="474" customWidth="1"/>
    <col min="12801" max="12801" width="11" style="474" customWidth="1"/>
    <col min="12802" max="12802" width="11.5703125" style="474" customWidth="1"/>
    <col min="12803" max="12803" width="8.85546875" style="474"/>
    <col min="12804" max="12804" width="11.140625" style="474" customWidth="1"/>
    <col min="12805" max="13039" width="8.85546875" style="474"/>
    <col min="13040" max="13040" width="38.140625" style="474" customWidth="1"/>
    <col min="13041" max="13041" width="11.85546875" style="474" customWidth="1"/>
    <col min="13042" max="13042" width="45.5703125" style="474" customWidth="1"/>
    <col min="13043" max="13043" width="8.85546875" style="474"/>
    <col min="13044" max="13044" width="13.140625" style="474" customWidth="1"/>
    <col min="13045" max="13045" width="8.85546875" style="474"/>
    <col min="13046" max="13046" width="11.85546875" style="474" customWidth="1"/>
    <col min="13047" max="13047" width="10.5703125" style="474" customWidth="1"/>
    <col min="13048" max="13048" width="11.42578125" style="474" customWidth="1"/>
    <col min="13049" max="13049" width="8.85546875" style="474"/>
    <col min="13050" max="13050" width="10.42578125" style="474" customWidth="1"/>
    <col min="13051" max="13051" width="10.85546875" style="474" customWidth="1"/>
    <col min="13052" max="13052" width="11.42578125" style="474" customWidth="1"/>
    <col min="13053" max="13053" width="12" style="474" customWidth="1"/>
    <col min="13054" max="13054" width="11.85546875" style="474" customWidth="1"/>
    <col min="13055" max="13055" width="8.5703125" style="474" customWidth="1"/>
    <col min="13056" max="13056" width="11.42578125" style="474" customWidth="1"/>
    <col min="13057" max="13057" width="11" style="474" customWidth="1"/>
    <col min="13058" max="13058" width="11.5703125" style="474" customWidth="1"/>
    <col min="13059" max="13059" width="8.85546875" style="474"/>
    <col min="13060" max="13060" width="11.140625" style="474" customWidth="1"/>
    <col min="13061" max="13295" width="8.85546875" style="474"/>
    <col min="13296" max="13296" width="38.140625" style="474" customWidth="1"/>
    <col min="13297" max="13297" width="11.85546875" style="474" customWidth="1"/>
    <col min="13298" max="13298" width="45.5703125" style="474" customWidth="1"/>
    <col min="13299" max="13299" width="8.85546875" style="474"/>
    <col min="13300" max="13300" width="13.140625" style="474" customWidth="1"/>
    <col min="13301" max="13301" width="8.85546875" style="474"/>
    <col min="13302" max="13302" width="11.85546875" style="474" customWidth="1"/>
    <col min="13303" max="13303" width="10.5703125" style="474" customWidth="1"/>
    <col min="13304" max="13304" width="11.42578125" style="474" customWidth="1"/>
    <col min="13305" max="13305" width="8.85546875" style="474"/>
    <col min="13306" max="13306" width="10.42578125" style="474" customWidth="1"/>
    <col min="13307" max="13307" width="10.85546875" style="474" customWidth="1"/>
    <col min="13308" max="13308" width="11.42578125" style="474" customWidth="1"/>
    <col min="13309" max="13309" width="12" style="474" customWidth="1"/>
    <col min="13310" max="13310" width="11.85546875" style="474" customWidth="1"/>
    <col min="13311" max="13311" width="8.5703125" style="474" customWidth="1"/>
    <col min="13312" max="13312" width="11.42578125" style="474" customWidth="1"/>
    <col min="13313" max="13313" width="11" style="474" customWidth="1"/>
    <col min="13314" max="13314" width="11.5703125" style="474" customWidth="1"/>
    <col min="13315" max="13315" width="8.85546875" style="474"/>
    <col min="13316" max="13316" width="11.140625" style="474" customWidth="1"/>
    <col min="13317" max="13551" width="8.85546875" style="474"/>
    <col min="13552" max="13552" width="38.140625" style="474" customWidth="1"/>
    <col min="13553" max="13553" width="11.85546875" style="474" customWidth="1"/>
    <col min="13554" max="13554" width="45.5703125" style="474" customWidth="1"/>
    <col min="13555" max="13555" width="8.85546875" style="474"/>
    <col min="13556" max="13556" width="13.140625" style="474" customWidth="1"/>
    <col min="13557" max="13557" width="8.85546875" style="474"/>
    <col min="13558" max="13558" width="11.85546875" style="474" customWidth="1"/>
    <col min="13559" max="13559" width="10.5703125" style="474" customWidth="1"/>
    <col min="13560" max="13560" width="11.42578125" style="474" customWidth="1"/>
    <col min="13561" max="13561" width="8.85546875" style="474"/>
    <col min="13562" max="13562" width="10.42578125" style="474" customWidth="1"/>
    <col min="13563" max="13563" width="10.85546875" style="474" customWidth="1"/>
    <col min="13564" max="13564" width="11.42578125" style="474" customWidth="1"/>
    <col min="13565" max="13565" width="12" style="474" customWidth="1"/>
    <col min="13566" max="13566" width="11.85546875" style="474" customWidth="1"/>
    <col min="13567" max="13567" width="8.5703125" style="474" customWidth="1"/>
    <col min="13568" max="13568" width="11.42578125" style="474" customWidth="1"/>
    <col min="13569" max="13569" width="11" style="474" customWidth="1"/>
    <col min="13570" max="13570" width="11.5703125" style="474" customWidth="1"/>
    <col min="13571" max="13571" width="8.85546875" style="474"/>
    <col min="13572" max="13572" width="11.140625" style="474" customWidth="1"/>
    <col min="13573" max="13807" width="8.85546875" style="474"/>
    <col min="13808" max="13808" width="38.140625" style="474" customWidth="1"/>
    <col min="13809" max="13809" width="11.85546875" style="474" customWidth="1"/>
    <col min="13810" max="13810" width="45.5703125" style="474" customWidth="1"/>
    <col min="13811" max="13811" width="8.85546875" style="474"/>
    <col min="13812" max="13812" width="13.140625" style="474" customWidth="1"/>
    <col min="13813" max="13813" width="8.85546875" style="474"/>
    <col min="13814" max="13814" width="11.85546875" style="474" customWidth="1"/>
    <col min="13815" max="13815" width="10.5703125" style="474" customWidth="1"/>
    <col min="13816" max="13816" width="11.42578125" style="474" customWidth="1"/>
    <col min="13817" max="13817" width="8.85546875" style="474"/>
    <col min="13818" max="13818" width="10.42578125" style="474" customWidth="1"/>
    <col min="13819" max="13819" width="10.85546875" style="474" customWidth="1"/>
    <col min="13820" max="13820" width="11.42578125" style="474" customWidth="1"/>
    <col min="13821" max="13821" width="12" style="474" customWidth="1"/>
    <col min="13822" max="13822" width="11.85546875" style="474" customWidth="1"/>
    <col min="13823" max="13823" width="8.5703125" style="474" customWidth="1"/>
    <col min="13824" max="13824" width="11.42578125" style="474" customWidth="1"/>
    <col min="13825" max="13825" width="11" style="474" customWidth="1"/>
    <col min="13826" max="13826" width="11.5703125" style="474" customWidth="1"/>
    <col min="13827" max="13827" width="8.85546875" style="474"/>
    <col min="13828" max="13828" width="11.140625" style="474" customWidth="1"/>
    <col min="13829" max="14063" width="8.85546875" style="474"/>
    <col min="14064" max="14064" width="38.140625" style="474" customWidth="1"/>
    <col min="14065" max="14065" width="11.85546875" style="474" customWidth="1"/>
    <col min="14066" max="14066" width="45.5703125" style="474" customWidth="1"/>
    <col min="14067" max="14067" width="8.85546875" style="474"/>
    <col min="14068" max="14068" width="13.140625" style="474" customWidth="1"/>
    <col min="14069" max="14069" width="8.85546875" style="474"/>
    <col min="14070" max="14070" width="11.85546875" style="474" customWidth="1"/>
    <col min="14071" max="14071" width="10.5703125" style="474" customWidth="1"/>
    <col min="14072" max="14072" width="11.42578125" style="474" customWidth="1"/>
    <col min="14073" max="14073" width="8.85546875" style="474"/>
    <col min="14074" max="14074" width="10.42578125" style="474" customWidth="1"/>
    <col min="14075" max="14075" width="10.85546875" style="474" customWidth="1"/>
    <col min="14076" max="14076" width="11.42578125" style="474" customWidth="1"/>
    <col min="14077" max="14077" width="12" style="474" customWidth="1"/>
    <col min="14078" max="14078" width="11.85546875" style="474" customWidth="1"/>
    <col min="14079" max="14079" width="8.5703125" style="474" customWidth="1"/>
    <col min="14080" max="14080" width="11.42578125" style="474" customWidth="1"/>
    <col min="14081" max="14081" width="11" style="474" customWidth="1"/>
    <col min="14082" max="14082" width="11.5703125" style="474" customWidth="1"/>
    <col min="14083" max="14083" width="8.85546875" style="474"/>
    <col min="14084" max="14084" width="11.140625" style="474" customWidth="1"/>
    <col min="14085" max="14319" width="8.85546875" style="474"/>
    <col min="14320" max="14320" width="38.140625" style="474" customWidth="1"/>
    <col min="14321" max="14321" width="11.85546875" style="474" customWidth="1"/>
    <col min="14322" max="14322" width="45.5703125" style="474" customWidth="1"/>
    <col min="14323" max="14323" width="8.85546875" style="474"/>
    <col min="14324" max="14324" width="13.140625" style="474" customWidth="1"/>
    <col min="14325" max="14325" width="8.85546875" style="474"/>
    <col min="14326" max="14326" width="11.85546875" style="474" customWidth="1"/>
    <col min="14327" max="14327" width="10.5703125" style="474" customWidth="1"/>
    <col min="14328" max="14328" width="11.42578125" style="474" customWidth="1"/>
    <col min="14329" max="14329" width="8.85546875" style="474"/>
    <col min="14330" max="14330" width="10.42578125" style="474" customWidth="1"/>
    <col min="14331" max="14331" width="10.85546875" style="474" customWidth="1"/>
    <col min="14332" max="14332" width="11.42578125" style="474" customWidth="1"/>
    <col min="14333" max="14333" width="12" style="474" customWidth="1"/>
    <col min="14334" max="14334" width="11.85546875" style="474" customWidth="1"/>
    <col min="14335" max="14335" width="8.5703125" style="474" customWidth="1"/>
    <col min="14336" max="14336" width="11.42578125" style="474" customWidth="1"/>
    <col min="14337" max="14337" width="11" style="474" customWidth="1"/>
    <col min="14338" max="14338" width="11.5703125" style="474" customWidth="1"/>
    <col min="14339" max="14339" width="8.85546875" style="474"/>
    <col min="14340" max="14340" width="11.140625" style="474" customWidth="1"/>
    <col min="14341" max="14575" width="8.85546875" style="474"/>
    <col min="14576" max="14576" width="38.140625" style="474" customWidth="1"/>
    <col min="14577" max="14577" width="11.85546875" style="474" customWidth="1"/>
    <col min="14578" max="14578" width="45.5703125" style="474" customWidth="1"/>
    <col min="14579" max="14579" width="8.85546875" style="474"/>
    <col min="14580" max="14580" width="13.140625" style="474" customWidth="1"/>
    <col min="14581" max="14581" width="8.85546875" style="474"/>
    <col min="14582" max="14582" width="11.85546875" style="474" customWidth="1"/>
    <col min="14583" max="14583" width="10.5703125" style="474" customWidth="1"/>
    <col min="14584" max="14584" width="11.42578125" style="474" customWidth="1"/>
    <col min="14585" max="14585" width="8.85546875" style="474"/>
    <col min="14586" max="14586" width="10.42578125" style="474" customWidth="1"/>
    <col min="14587" max="14587" width="10.85546875" style="474" customWidth="1"/>
    <col min="14588" max="14588" width="11.42578125" style="474" customWidth="1"/>
    <col min="14589" max="14589" width="12" style="474" customWidth="1"/>
    <col min="14590" max="14590" width="11.85546875" style="474" customWidth="1"/>
    <col min="14591" max="14591" width="8.5703125" style="474" customWidth="1"/>
    <col min="14592" max="14592" width="11.42578125" style="474" customWidth="1"/>
    <col min="14593" max="14593" width="11" style="474" customWidth="1"/>
    <col min="14594" max="14594" width="11.5703125" style="474" customWidth="1"/>
    <col min="14595" max="14595" width="8.85546875" style="474"/>
    <col min="14596" max="14596" width="11.140625" style="474" customWidth="1"/>
    <col min="14597" max="14831" width="8.85546875" style="474"/>
    <col min="14832" max="14832" width="38.140625" style="474" customWidth="1"/>
    <col min="14833" max="14833" width="11.85546875" style="474" customWidth="1"/>
    <col min="14834" max="14834" width="45.5703125" style="474" customWidth="1"/>
    <col min="14835" max="14835" width="8.85546875" style="474"/>
    <col min="14836" max="14836" width="13.140625" style="474" customWidth="1"/>
    <col min="14837" max="14837" width="8.85546875" style="474"/>
    <col min="14838" max="14838" width="11.85546875" style="474" customWidth="1"/>
    <col min="14839" max="14839" width="10.5703125" style="474" customWidth="1"/>
    <col min="14840" max="14840" width="11.42578125" style="474" customWidth="1"/>
    <col min="14841" max="14841" width="8.85546875" style="474"/>
    <col min="14842" max="14842" width="10.42578125" style="474" customWidth="1"/>
    <col min="14843" max="14843" width="10.85546875" style="474" customWidth="1"/>
    <col min="14844" max="14844" width="11.42578125" style="474" customWidth="1"/>
    <col min="14845" max="14845" width="12" style="474" customWidth="1"/>
    <col min="14846" max="14846" width="11.85546875" style="474" customWidth="1"/>
    <col min="14847" max="14847" width="8.5703125" style="474" customWidth="1"/>
    <col min="14848" max="14848" width="11.42578125" style="474" customWidth="1"/>
    <col min="14849" max="14849" width="11" style="474" customWidth="1"/>
    <col min="14850" max="14850" width="11.5703125" style="474" customWidth="1"/>
    <col min="14851" max="14851" width="8.85546875" style="474"/>
    <col min="14852" max="14852" width="11.140625" style="474" customWidth="1"/>
    <col min="14853" max="15087" width="8.85546875" style="474"/>
    <col min="15088" max="15088" width="38.140625" style="474" customWidth="1"/>
    <col min="15089" max="15089" width="11.85546875" style="474" customWidth="1"/>
    <col min="15090" max="15090" width="45.5703125" style="474" customWidth="1"/>
    <col min="15091" max="15091" width="8.85546875" style="474"/>
    <col min="15092" max="15092" width="13.140625" style="474" customWidth="1"/>
    <col min="15093" max="15093" width="8.85546875" style="474"/>
    <col min="15094" max="15094" width="11.85546875" style="474" customWidth="1"/>
    <col min="15095" max="15095" width="10.5703125" style="474" customWidth="1"/>
    <col min="15096" max="15096" width="11.42578125" style="474" customWidth="1"/>
    <col min="15097" max="15097" width="8.85546875" style="474"/>
    <col min="15098" max="15098" width="10.42578125" style="474" customWidth="1"/>
    <col min="15099" max="15099" width="10.85546875" style="474" customWidth="1"/>
    <col min="15100" max="15100" width="11.42578125" style="474" customWidth="1"/>
    <col min="15101" max="15101" width="12" style="474" customWidth="1"/>
    <col min="15102" max="15102" width="11.85546875" style="474" customWidth="1"/>
    <col min="15103" max="15103" width="8.5703125" style="474" customWidth="1"/>
    <col min="15104" max="15104" width="11.42578125" style="474" customWidth="1"/>
    <col min="15105" max="15105" width="11" style="474" customWidth="1"/>
    <col min="15106" max="15106" width="11.5703125" style="474" customWidth="1"/>
    <col min="15107" max="15107" width="8.85546875" style="474"/>
    <col min="15108" max="15108" width="11.140625" style="474" customWidth="1"/>
    <col min="15109" max="15343" width="8.85546875" style="474"/>
    <col min="15344" max="15344" width="38.140625" style="474" customWidth="1"/>
    <col min="15345" max="15345" width="11.85546875" style="474" customWidth="1"/>
    <col min="15346" max="15346" width="45.5703125" style="474" customWidth="1"/>
    <col min="15347" max="15347" width="8.85546875" style="474"/>
    <col min="15348" max="15348" width="13.140625" style="474" customWidth="1"/>
    <col min="15349" max="15349" width="8.85546875" style="474"/>
    <col min="15350" max="15350" width="11.85546875" style="474" customWidth="1"/>
    <col min="15351" max="15351" width="10.5703125" style="474" customWidth="1"/>
    <col min="15352" max="15352" width="11.42578125" style="474" customWidth="1"/>
    <col min="15353" max="15353" width="8.85546875" style="474"/>
    <col min="15354" max="15354" width="10.42578125" style="474" customWidth="1"/>
    <col min="15355" max="15355" width="10.85546875" style="474" customWidth="1"/>
    <col min="15356" max="15356" width="11.42578125" style="474" customWidth="1"/>
    <col min="15357" max="15357" width="12" style="474" customWidth="1"/>
    <col min="15358" max="15358" width="11.85546875" style="474" customWidth="1"/>
    <col min="15359" max="15359" width="8.5703125" style="474" customWidth="1"/>
    <col min="15360" max="15360" width="11.42578125" style="474" customWidth="1"/>
    <col min="15361" max="15361" width="11" style="474" customWidth="1"/>
    <col min="15362" max="15362" width="11.5703125" style="474" customWidth="1"/>
    <col min="15363" max="15363" width="8.85546875" style="474"/>
    <col min="15364" max="15364" width="11.140625" style="474" customWidth="1"/>
    <col min="15365" max="15599" width="8.85546875" style="474"/>
    <col min="15600" max="15600" width="38.140625" style="474" customWidth="1"/>
    <col min="15601" max="15601" width="11.85546875" style="474" customWidth="1"/>
    <col min="15602" max="15602" width="45.5703125" style="474" customWidth="1"/>
    <col min="15603" max="15603" width="8.85546875" style="474"/>
    <col min="15604" max="15604" width="13.140625" style="474" customWidth="1"/>
    <col min="15605" max="15605" width="8.85546875" style="474"/>
    <col min="15606" max="15606" width="11.85546875" style="474" customWidth="1"/>
    <col min="15607" max="15607" width="10.5703125" style="474" customWidth="1"/>
    <col min="15608" max="15608" width="11.42578125" style="474" customWidth="1"/>
    <col min="15609" max="15609" width="8.85546875" style="474"/>
    <col min="15610" max="15610" width="10.42578125" style="474" customWidth="1"/>
    <col min="15611" max="15611" width="10.85546875" style="474" customWidth="1"/>
    <col min="15612" max="15612" width="11.42578125" style="474" customWidth="1"/>
    <col min="15613" max="15613" width="12" style="474" customWidth="1"/>
    <col min="15614" max="15614" width="11.85546875" style="474" customWidth="1"/>
    <col min="15615" max="15615" width="8.5703125" style="474" customWidth="1"/>
    <col min="15616" max="15616" width="11.42578125" style="474" customWidth="1"/>
    <col min="15617" max="15617" width="11" style="474" customWidth="1"/>
    <col min="15618" max="15618" width="11.5703125" style="474" customWidth="1"/>
    <col min="15619" max="15619" width="8.85546875" style="474"/>
    <col min="15620" max="15620" width="11.140625" style="474" customWidth="1"/>
    <col min="15621" max="15855" width="8.85546875" style="474"/>
    <col min="15856" max="15856" width="38.140625" style="474" customWidth="1"/>
    <col min="15857" max="15857" width="11.85546875" style="474" customWidth="1"/>
    <col min="15858" max="15858" width="45.5703125" style="474" customWidth="1"/>
    <col min="15859" max="15859" width="8.85546875" style="474"/>
    <col min="15860" max="15860" width="13.140625" style="474" customWidth="1"/>
    <col min="15861" max="15861" width="8.85546875" style="474"/>
    <col min="15862" max="15862" width="11.85546875" style="474" customWidth="1"/>
    <col min="15863" max="15863" width="10.5703125" style="474" customWidth="1"/>
    <col min="15864" max="15864" width="11.42578125" style="474" customWidth="1"/>
    <col min="15865" max="15865" width="8.85546875" style="474"/>
    <col min="15866" max="15866" width="10.42578125" style="474" customWidth="1"/>
    <col min="15867" max="15867" width="10.85546875" style="474" customWidth="1"/>
    <col min="15868" max="15868" width="11.42578125" style="474" customWidth="1"/>
    <col min="15869" max="15869" width="12" style="474" customWidth="1"/>
    <col min="15870" max="15870" width="11.85546875" style="474" customWidth="1"/>
    <col min="15871" max="15871" width="8.5703125" style="474" customWidth="1"/>
    <col min="15872" max="15872" width="11.42578125" style="474" customWidth="1"/>
    <col min="15873" max="15873" width="11" style="474" customWidth="1"/>
    <col min="15874" max="15874" width="11.5703125" style="474" customWidth="1"/>
    <col min="15875" max="15875" width="8.85546875" style="474"/>
    <col min="15876" max="15876" width="11.140625" style="474" customWidth="1"/>
    <col min="15877" max="16111" width="8.85546875" style="474"/>
    <col min="16112" max="16112" width="38.140625" style="474" customWidth="1"/>
    <col min="16113" max="16113" width="11.85546875" style="474" customWidth="1"/>
    <col min="16114" max="16114" width="45.5703125" style="474" customWidth="1"/>
    <col min="16115" max="16115" width="8.85546875" style="474"/>
    <col min="16116" max="16116" width="13.140625" style="474" customWidth="1"/>
    <col min="16117" max="16117" width="8.85546875" style="474"/>
    <col min="16118" max="16118" width="11.85546875" style="474" customWidth="1"/>
    <col min="16119" max="16119" width="10.5703125" style="474" customWidth="1"/>
    <col min="16120" max="16120" width="11.42578125" style="474" customWidth="1"/>
    <col min="16121" max="16121" width="8.85546875" style="474"/>
    <col min="16122" max="16122" width="10.42578125" style="474" customWidth="1"/>
    <col min="16123" max="16123" width="10.85546875" style="474" customWidth="1"/>
    <col min="16124" max="16124" width="11.42578125" style="474" customWidth="1"/>
    <col min="16125" max="16125" width="12" style="474" customWidth="1"/>
    <col min="16126" max="16126" width="11.85546875" style="474" customWidth="1"/>
    <col min="16127" max="16127" width="8.5703125" style="474" customWidth="1"/>
    <col min="16128" max="16128" width="11.42578125" style="474" customWidth="1"/>
    <col min="16129" max="16129" width="11" style="474" customWidth="1"/>
    <col min="16130" max="16130" width="11.5703125" style="474" customWidth="1"/>
    <col min="16131" max="16131" width="8.85546875" style="474"/>
    <col min="16132" max="16132" width="11.140625" style="474" customWidth="1"/>
    <col min="16133" max="16384" width="8.85546875" style="474"/>
  </cols>
  <sheetData>
    <row r="1" spans="1:30" s="1" customFormat="1">
      <c r="A1" s="506" t="s">
        <v>1035</v>
      </c>
      <c r="B1" s="506"/>
      <c r="C1" s="422"/>
      <c r="D1" s="422"/>
      <c r="E1" s="423"/>
      <c r="F1" s="423"/>
      <c r="G1" s="424"/>
      <c r="H1" s="424"/>
      <c r="I1" s="424"/>
      <c r="J1" s="424"/>
      <c r="K1" s="425"/>
      <c r="L1" s="425"/>
      <c r="M1" s="424"/>
      <c r="N1" s="424"/>
      <c r="O1" s="424"/>
      <c r="P1" s="424"/>
      <c r="Q1" s="424"/>
      <c r="R1" s="424"/>
      <c r="S1" s="424"/>
      <c r="T1" s="424"/>
      <c r="U1" s="424"/>
      <c r="V1" s="424"/>
      <c r="W1" s="424"/>
      <c r="X1" s="424"/>
      <c r="Y1" s="424"/>
      <c r="Z1" s="424"/>
      <c r="AA1" s="424"/>
    </row>
    <row r="2" spans="1:30" s="1" customFormat="1" ht="22.5">
      <c r="A2" s="507" t="s">
        <v>339</v>
      </c>
      <c r="B2" s="507"/>
      <c r="C2" s="2"/>
      <c r="D2" s="426" t="s">
        <v>901</v>
      </c>
      <c r="E2" s="2"/>
      <c r="F2" s="2"/>
      <c r="G2" s="424"/>
      <c r="H2" s="424"/>
      <c r="I2" s="424"/>
      <c r="J2" s="424"/>
      <c r="K2" s="425"/>
      <c r="L2" s="425"/>
      <c r="M2" s="424"/>
      <c r="N2" s="424"/>
      <c r="O2" s="424"/>
      <c r="P2" s="424"/>
      <c r="Q2" s="424"/>
      <c r="R2" s="424"/>
      <c r="S2" s="424"/>
      <c r="T2" s="424"/>
      <c r="U2" s="424"/>
      <c r="V2" s="424"/>
      <c r="W2" s="424"/>
      <c r="X2" s="424"/>
      <c r="Y2" s="424"/>
      <c r="Z2" s="424"/>
      <c r="AA2" s="424"/>
    </row>
    <row r="3" spans="1:30" s="1" customFormat="1">
      <c r="A3" s="509" t="s">
        <v>1130</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row>
    <row r="4" spans="1:30" s="1" customFormat="1">
      <c r="A4" s="510" t="s">
        <v>1037</v>
      </c>
      <c r="B4" s="510"/>
      <c r="C4" s="510"/>
      <c r="D4" s="510"/>
      <c r="E4" s="510"/>
      <c r="F4" s="510"/>
      <c r="G4" s="510"/>
      <c r="H4" s="510"/>
      <c r="I4" s="510"/>
      <c r="J4" s="510"/>
      <c r="K4" s="510"/>
      <c r="L4" s="510"/>
      <c r="M4" s="510"/>
      <c r="N4" s="510"/>
      <c r="O4" s="510"/>
      <c r="P4" s="510"/>
      <c r="Q4" s="510"/>
      <c r="R4" s="510"/>
      <c r="S4" s="510"/>
      <c r="T4" s="510"/>
      <c r="U4" s="510"/>
      <c r="V4" s="510"/>
      <c r="W4" s="510"/>
      <c r="X4" s="510"/>
      <c r="Y4" s="510"/>
      <c r="Z4" s="510"/>
      <c r="AA4" s="510"/>
    </row>
    <row r="5" spans="1:30" s="1" customFormat="1" ht="28.5" customHeight="1">
      <c r="A5" s="541" t="s">
        <v>0</v>
      </c>
      <c r="B5" s="541"/>
      <c r="C5" s="542"/>
      <c r="D5" s="541"/>
      <c r="E5" s="541"/>
      <c r="F5" s="541"/>
      <c r="G5" s="541"/>
      <c r="H5" s="541"/>
      <c r="I5" s="541"/>
      <c r="J5" s="541"/>
      <c r="K5" s="541"/>
      <c r="L5" s="541"/>
      <c r="M5" s="541"/>
      <c r="N5" s="541"/>
      <c r="O5" s="541"/>
      <c r="P5" s="541"/>
      <c r="Q5" s="541"/>
      <c r="R5" s="541"/>
      <c r="S5" s="541"/>
      <c r="T5" s="541"/>
      <c r="U5" s="541"/>
      <c r="V5" s="541"/>
      <c r="W5" s="541"/>
      <c r="X5" s="541"/>
      <c r="Y5" s="541"/>
      <c r="Z5" s="541"/>
      <c r="AA5" s="541"/>
    </row>
    <row r="6" spans="1:30" s="428" customFormat="1" ht="14.25" customHeight="1">
      <c r="A6" s="539" t="s">
        <v>1</v>
      </c>
      <c r="B6" s="540" t="s">
        <v>2</v>
      </c>
      <c r="C6" s="540" t="s">
        <v>3</v>
      </c>
      <c r="D6" s="540" t="s">
        <v>4</v>
      </c>
      <c r="E6" s="540" t="s">
        <v>974</v>
      </c>
      <c r="F6" s="540" t="s">
        <v>6</v>
      </c>
      <c r="G6" s="540"/>
      <c r="H6" s="540"/>
      <c r="I6" s="540"/>
      <c r="J6" s="540"/>
      <c r="K6" s="540"/>
      <c r="L6" s="543" t="s">
        <v>1009</v>
      </c>
      <c r="M6" s="540" t="s">
        <v>7</v>
      </c>
      <c r="N6" s="540"/>
      <c r="O6" s="543" t="s">
        <v>985</v>
      </c>
      <c r="P6" s="546" t="s">
        <v>1109</v>
      </c>
      <c r="Q6" s="547"/>
      <c r="R6" s="548"/>
      <c r="S6" s="546" t="s">
        <v>1030</v>
      </c>
      <c r="T6" s="547"/>
      <c r="U6" s="548"/>
      <c r="V6" s="543" t="s">
        <v>993</v>
      </c>
      <c r="W6" s="556" t="s">
        <v>1022</v>
      </c>
      <c r="X6" s="556"/>
      <c r="Y6" s="556"/>
      <c r="Z6" s="557" t="s">
        <v>986</v>
      </c>
      <c r="AA6" s="540" t="s">
        <v>109</v>
      </c>
    </row>
    <row r="7" spans="1:30" s="429" customFormat="1" ht="34.5" customHeight="1">
      <c r="A7" s="539"/>
      <c r="B7" s="540"/>
      <c r="C7" s="540"/>
      <c r="D7" s="540"/>
      <c r="E7" s="540"/>
      <c r="F7" s="540"/>
      <c r="G7" s="540"/>
      <c r="H7" s="540"/>
      <c r="I7" s="540"/>
      <c r="J7" s="540"/>
      <c r="K7" s="540"/>
      <c r="L7" s="544"/>
      <c r="M7" s="540"/>
      <c r="N7" s="540"/>
      <c r="O7" s="544"/>
      <c r="P7" s="549"/>
      <c r="Q7" s="550"/>
      <c r="R7" s="551"/>
      <c r="S7" s="549"/>
      <c r="T7" s="550"/>
      <c r="U7" s="551"/>
      <c r="V7" s="544"/>
      <c r="W7" s="556"/>
      <c r="X7" s="556"/>
      <c r="Y7" s="556"/>
      <c r="Z7" s="558"/>
      <c r="AA7" s="540"/>
    </row>
    <row r="8" spans="1:30" s="429" customFormat="1" ht="12">
      <c r="A8" s="539"/>
      <c r="B8" s="540"/>
      <c r="C8" s="540"/>
      <c r="D8" s="540"/>
      <c r="E8" s="540"/>
      <c r="F8" s="540" t="s">
        <v>10</v>
      </c>
      <c r="G8" s="540" t="s">
        <v>11</v>
      </c>
      <c r="H8" s="540" t="s">
        <v>12</v>
      </c>
      <c r="I8" s="540"/>
      <c r="J8" s="540"/>
      <c r="K8" s="540"/>
      <c r="L8" s="544"/>
      <c r="M8" s="540" t="s">
        <v>13</v>
      </c>
      <c r="N8" s="540" t="s">
        <v>934</v>
      </c>
      <c r="O8" s="544"/>
      <c r="P8" s="540" t="s">
        <v>1023</v>
      </c>
      <c r="Q8" s="540" t="s">
        <v>111</v>
      </c>
      <c r="R8" s="540"/>
      <c r="S8" s="543" t="s">
        <v>1023</v>
      </c>
      <c r="T8" s="552" t="s">
        <v>111</v>
      </c>
      <c r="U8" s="553"/>
      <c r="V8" s="544"/>
      <c r="W8" s="540" t="s">
        <v>13</v>
      </c>
      <c r="X8" s="540" t="s">
        <v>1024</v>
      </c>
      <c r="Y8" s="540"/>
      <c r="Z8" s="558"/>
      <c r="AA8" s="540"/>
    </row>
    <row r="9" spans="1:30" s="429" customFormat="1" ht="27" customHeight="1">
      <c r="A9" s="539"/>
      <c r="B9" s="540"/>
      <c r="C9" s="540"/>
      <c r="D9" s="540"/>
      <c r="E9" s="540"/>
      <c r="F9" s="540"/>
      <c r="G9" s="540"/>
      <c r="H9" s="540" t="s">
        <v>13</v>
      </c>
      <c r="I9" s="540" t="s">
        <v>14</v>
      </c>
      <c r="J9" s="540"/>
      <c r="K9" s="540"/>
      <c r="L9" s="544"/>
      <c r="M9" s="540"/>
      <c r="N9" s="540"/>
      <c r="O9" s="544"/>
      <c r="P9" s="540"/>
      <c r="Q9" s="540" t="s">
        <v>15</v>
      </c>
      <c r="R9" s="540" t="s">
        <v>16</v>
      </c>
      <c r="S9" s="544"/>
      <c r="T9" s="543" t="s">
        <v>15</v>
      </c>
      <c r="U9" s="543" t="s">
        <v>16</v>
      </c>
      <c r="V9" s="544"/>
      <c r="W9" s="540"/>
      <c r="X9" s="540" t="s">
        <v>935</v>
      </c>
      <c r="Y9" s="540" t="s">
        <v>983</v>
      </c>
      <c r="Z9" s="558"/>
      <c r="AA9" s="540"/>
    </row>
    <row r="10" spans="1:30" s="429" customFormat="1" ht="48">
      <c r="A10" s="539"/>
      <c r="B10" s="540"/>
      <c r="C10" s="540"/>
      <c r="D10" s="540"/>
      <c r="E10" s="540"/>
      <c r="F10" s="540"/>
      <c r="G10" s="540"/>
      <c r="H10" s="540"/>
      <c r="I10" s="427" t="s">
        <v>17</v>
      </c>
      <c r="J10" s="427" t="s">
        <v>15</v>
      </c>
      <c r="K10" s="427" t="s">
        <v>16</v>
      </c>
      <c r="L10" s="545"/>
      <c r="M10" s="540"/>
      <c r="N10" s="540"/>
      <c r="O10" s="545"/>
      <c r="P10" s="540"/>
      <c r="Q10" s="540"/>
      <c r="R10" s="540"/>
      <c r="S10" s="545"/>
      <c r="T10" s="545"/>
      <c r="U10" s="545"/>
      <c r="V10" s="545"/>
      <c r="W10" s="540"/>
      <c r="X10" s="540"/>
      <c r="Y10" s="540"/>
      <c r="Z10" s="559"/>
      <c r="AA10" s="540"/>
    </row>
    <row r="11" spans="1:30" s="432" customFormat="1" ht="22.5" customHeight="1">
      <c r="A11" s="430">
        <v>1</v>
      </c>
      <c r="B11" s="431">
        <v>2</v>
      </c>
      <c r="C11" s="430">
        <v>3</v>
      </c>
      <c r="D11" s="431">
        <v>4</v>
      </c>
      <c r="E11" s="430">
        <v>5</v>
      </c>
      <c r="F11" s="431">
        <v>6</v>
      </c>
      <c r="G11" s="430">
        <v>7</v>
      </c>
      <c r="H11" s="431">
        <v>8</v>
      </c>
      <c r="I11" s="430">
        <v>9</v>
      </c>
      <c r="J11" s="431">
        <v>10</v>
      </c>
      <c r="K11" s="430">
        <v>11</v>
      </c>
      <c r="L11" s="430"/>
      <c r="M11" s="431">
        <v>12</v>
      </c>
      <c r="N11" s="430">
        <v>13</v>
      </c>
      <c r="O11" s="430"/>
      <c r="P11" s="430">
        <v>17</v>
      </c>
      <c r="Q11" s="431">
        <v>18</v>
      </c>
      <c r="R11" s="430">
        <v>19</v>
      </c>
      <c r="S11" s="430">
        <v>17</v>
      </c>
      <c r="T11" s="431">
        <v>18</v>
      </c>
      <c r="U11" s="430">
        <v>19</v>
      </c>
      <c r="V11" s="430"/>
      <c r="W11" s="431">
        <v>20</v>
      </c>
      <c r="X11" s="430">
        <v>21</v>
      </c>
      <c r="Y11" s="431">
        <v>22</v>
      </c>
      <c r="Z11" s="431"/>
      <c r="AA11" s="430">
        <v>23</v>
      </c>
    </row>
    <row r="12" spans="1:30" s="435" customFormat="1" ht="14.25">
      <c r="A12" s="433"/>
      <c r="B12" s="421" t="s">
        <v>18</v>
      </c>
      <c r="C12" s="421"/>
      <c r="D12" s="421"/>
      <c r="E12" s="421"/>
      <c r="F12" s="421"/>
      <c r="G12" s="421"/>
      <c r="H12" s="434">
        <f>+H13+H30+H39</f>
        <v>679161.95140000002</v>
      </c>
      <c r="I12" s="434">
        <f t="shared" ref="I12:Y12" si="0">+I13+I30+I39</f>
        <v>7500</v>
      </c>
      <c r="J12" s="434">
        <f t="shared" si="0"/>
        <v>670161.95140000002</v>
      </c>
      <c r="K12" s="434">
        <f t="shared" si="0"/>
        <v>1500</v>
      </c>
      <c r="L12" s="434">
        <f t="shared" si="0"/>
        <v>665801.05240000004</v>
      </c>
      <c r="M12" s="434">
        <f t="shared" si="0"/>
        <v>157454.745</v>
      </c>
      <c r="N12" s="434">
        <f t="shared" si="0"/>
        <v>152454.745</v>
      </c>
      <c r="O12" s="434">
        <f t="shared" si="0"/>
        <v>239227.50170100003</v>
      </c>
      <c r="P12" s="434">
        <f t="shared" si="0"/>
        <v>493395.4</v>
      </c>
      <c r="Q12" s="434">
        <f t="shared" si="0"/>
        <v>493395.4</v>
      </c>
      <c r="R12" s="434">
        <f t="shared" si="0"/>
        <v>0</v>
      </c>
      <c r="S12" s="434">
        <f t="shared" si="0"/>
        <v>525825.50100000005</v>
      </c>
      <c r="T12" s="434">
        <f t="shared" si="0"/>
        <v>441825.50100000005</v>
      </c>
      <c r="U12" s="434">
        <f t="shared" si="0"/>
        <v>84000</v>
      </c>
      <c r="V12" s="434">
        <f t="shared" si="0"/>
        <v>438141.60170100001</v>
      </c>
      <c r="W12" s="434">
        <f t="shared" si="0"/>
        <v>122961.72270099999</v>
      </c>
      <c r="X12" s="434">
        <f t="shared" si="0"/>
        <v>71232.759701000003</v>
      </c>
      <c r="Y12" s="434">
        <f t="shared" si="0"/>
        <v>48728.963000000003</v>
      </c>
      <c r="Z12" s="434" t="e">
        <f>+Z13+Z30+Z39+#REF!</f>
        <v>#REF!</v>
      </c>
      <c r="AA12" s="421"/>
      <c r="AC12" s="435">
        <f>+Q12-T12</f>
        <v>51569.898999999976</v>
      </c>
    </row>
    <row r="13" spans="1:30" s="441" customFormat="1" ht="28.5">
      <c r="A13" s="436" t="s">
        <v>19</v>
      </c>
      <c r="B13" s="437" t="s">
        <v>886</v>
      </c>
      <c r="C13" s="437"/>
      <c r="D13" s="438"/>
      <c r="E13" s="438"/>
      <c r="F13" s="439"/>
      <c r="G13" s="439"/>
      <c r="H13" s="440">
        <f t="shared" ref="H13:Y13" si="1">SUM(H14:H29)</f>
        <v>146738.04840000003</v>
      </c>
      <c r="I13" s="440">
        <f t="shared" si="1"/>
        <v>7500</v>
      </c>
      <c r="J13" s="440">
        <f t="shared" si="1"/>
        <v>139238.0484</v>
      </c>
      <c r="K13" s="440">
        <f t="shared" si="1"/>
        <v>0</v>
      </c>
      <c r="L13" s="440">
        <f t="shared" ref="L13" si="2">SUM(L14:L29)</f>
        <v>146738.04840000003</v>
      </c>
      <c r="M13" s="440">
        <f t="shared" si="1"/>
        <v>113026.75</v>
      </c>
      <c r="N13" s="440">
        <f t="shared" si="1"/>
        <v>108026.75</v>
      </c>
      <c r="O13" s="440">
        <f t="shared" ref="O13:R13" si="3">SUM(O14:O29)</f>
        <v>133002.054</v>
      </c>
      <c r="P13" s="440">
        <f t="shared" si="3"/>
        <v>26307</v>
      </c>
      <c r="Q13" s="440">
        <f t="shared" si="3"/>
        <v>26307</v>
      </c>
      <c r="R13" s="440">
        <f t="shared" si="3"/>
        <v>0</v>
      </c>
      <c r="S13" s="440">
        <f t="shared" si="1"/>
        <v>26307</v>
      </c>
      <c r="T13" s="440">
        <f t="shared" si="1"/>
        <v>26307</v>
      </c>
      <c r="U13" s="440">
        <f t="shared" si="1"/>
        <v>0</v>
      </c>
      <c r="V13" s="440">
        <f t="shared" ref="V13" si="4">SUM(V14:V29)</f>
        <v>26307</v>
      </c>
      <c r="W13" s="440">
        <f t="shared" si="1"/>
        <v>27007</v>
      </c>
      <c r="X13" s="440">
        <f t="shared" si="1"/>
        <v>25399</v>
      </c>
      <c r="Y13" s="440">
        <f t="shared" si="1"/>
        <v>1608</v>
      </c>
      <c r="Z13" s="440">
        <f t="shared" ref="Z13" si="5">SUM(Z14:Z29)</f>
        <v>0.36199999999917054</v>
      </c>
      <c r="AA13" s="439"/>
      <c r="AC13" s="372"/>
      <c r="AD13" s="372"/>
    </row>
    <row r="14" spans="1:30" s="372" customFormat="1" ht="60">
      <c r="A14" s="442">
        <f>ROW()-13</f>
        <v>1</v>
      </c>
      <c r="B14" s="443" t="s">
        <v>233</v>
      </c>
      <c r="C14" s="444" t="s">
        <v>828</v>
      </c>
      <c r="D14" s="444" t="s">
        <v>826</v>
      </c>
      <c r="E14" s="444" t="s">
        <v>219</v>
      </c>
      <c r="F14" s="445" t="s">
        <v>234</v>
      </c>
      <c r="G14" s="445" t="s">
        <v>34</v>
      </c>
      <c r="H14" s="446">
        <v>9305</v>
      </c>
      <c r="I14" s="446"/>
      <c r="J14" s="446">
        <v>9305</v>
      </c>
      <c r="K14" s="446"/>
      <c r="L14" s="446">
        <v>9305</v>
      </c>
      <c r="M14" s="446">
        <v>8000</v>
      </c>
      <c r="N14" s="446">
        <v>8000</v>
      </c>
      <c r="O14" s="446">
        <v>8863</v>
      </c>
      <c r="P14" s="446">
        <f>+Q14+R14</f>
        <v>863</v>
      </c>
      <c r="Q14" s="446">
        <f>VLOOKUP(B14,'[1]Phụ lục 2'!$B$14:$P$93,14,0)</f>
        <v>863</v>
      </c>
      <c r="R14" s="446"/>
      <c r="S14" s="446">
        <v>863</v>
      </c>
      <c r="T14" s="446">
        <v>863</v>
      </c>
      <c r="U14" s="446"/>
      <c r="V14" s="446">
        <v>863</v>
      </c>
      <c r="W14" s="446">
        <f>SUM(X14:Y14)</f>
        <v>863</v>
      </c>
      <c r="X14" s="446">
        <v>863</v>
      </c>
      <c r="Y14" s="446"/>
      <c r="Z14" s="446">
        <f t="shared" ref="Z14:Z29" si="6">IF((O14-M14-W14)&gt;0,O14-M14-W14,0)</f>
        <v>0</v>
      </c>
      <c r="AA14" s="445"/>
      <c r="AC14" s="435"/>
    </row>
    <row r="15" spans="1:30" s="372" customFormat="1" ht="60">
      <c r="A15" s="442">
        <f t="shared" ref="A15:A29" si="7">ROW()-13</f>
        <v>2</v>
      </c>
      <c r="B15" s="443" t="s">
        <v>833</v>
      </c>
      <c r="C15" s="444" t="s">
        <v>40</v>
      </c>
      <c r="D15" s="444" t="s">
        <v>821</v>
      </c>
      <c r="E15" s="444" t="s">
        <v>219</v>
      </c>
      <c r="F15" s="445" t="s">
        <v>242</v>
      </c>
      <c r="G15" s="445" t="s">
        <v>34</v>
      </c>
      <c r="H15" s="446">
        <v>10394.691000000001</v>
      </c>
      <c r="I15" s="446"/>
      <c r="J15" s="446">
        <v>10394.691000000001</v>
      </c>
      <c r="K15" s="446"/>
      <c r="L15" s="446">
        <v>10394.691000000001</v>
      </c>
      <c r="M15" s="446">
        <v>9000</v>
      </c>
      <c r="N15" s="446">
        <v>9000</v>
      </c>
      <c r="O15" s="446">
        <v>9799.2800000000007</v>
      </c>
      <c r="P15" s="446">
        <f t="shared" ref="P15:P76" si="8">+Q15+R15</f>
        <v>1288</v>
      </c>
      <c r="Q15" s="446">
        <f>VLOOKUP(B15,'[1]Phụ lục 2'!$B$14:$P$93,14,0)</f>
        <v>1288</v>
      </c>
      <c r="R15" s="446"/>
      <c r="S15" s="446">
        <v>1288</v>
      </c>
      <c r="T15" s="446">
        <v>1288</v>
      </c>
      <c r="U15" s="446"/>
      <c r="V15" s="446">
        <v>1288</v>
      </c>
      <c r="W15" s="446">
        <f>SUM(X15:Y15)</f>
        <v>1288</v>
      </c>
      <c r="X15" s="446">
        <v>1288</v>
      </c>
      <c r="Y15" s="446"/>
      <c r="Z15" s="446">
        <f t="shared" si="6"/>
        <v>0</v>
      </c>
      <c r="AA15" s="445"/>
      <c r="AC15" s="435"/>
    </row>
    <row r="16" spans="1:30" s="372" customFormat="1" ht="60">
      <c r="A16" s="442">
        <f t="shared" si="7"/>
        <v>3</v>
      </c>
      <c r="B16" s="443" t="s">
        <v>237</v>
      </c>
      <c r="C16" s="444" t="s">
        <v>827</v>
      </c>
      <c r="D16" s="444" t="s">
        <v>824</v>
      </c>
      <c r="E16" s="444" t="s">
        <v>219</v>
      </c>
      <c r="F16" s="445" t="s">
        <v>238</v>
      </c>
      <c r="G16" s="445" t="s">
        <v>34</v>
      </c>
      <c r="H16" s="446">
        <v>10372.934999999999</v>
      </c>
      <c r="I16" s="446"/>
      <c r="J16" s="446">
        <v>10372.934999999999</v>
      </c>
      <c r="K16" s="446"/>
      <c r="L16" s="446">
        <v>10372.934999999999</v>
      </c>
      <c r="M16" s="446">
        <v>8500</v>
      </c>
      <c r="N16" s="446">
        <v>8500</v>
      </c>
      <c r="O16" s="446">
        <v>9734.3619999999992</v>
      </c>
      <c r="P16" s="446">
        <f t="shared" si="8"/>
        <v>1234</v>
      </c>
      <c r="Q16" s="446">
        <f>VLOOKUP(B16,'[1]Phụ lục 2'!$B$14:$P$93,14,0)</f>
        <v>1234</v>
      </c>
      <c r="R16" s="447"/>
      <c r="S16" s="447">
        <v>1234</v>
      </c>
      <c r="T16" s="447">
        <v>1234</v>
      </c>
      <c r="U16" s="447"/>
      <c r="V16" s="447">
        <v>1234</v>
      </c>
      <c r="W16" s="446">
        <f t="shared" ref="W16:W25" si="9">SUM(X16:Y16)</f>
        <v>1234</v>
      </c>
      <c r="X16" s="447">
        <v>1234</v>
      </c>
      <c r="Y16" s="447"/>
      <c r="Z16" s="446">
        <f t="shared" si="6"/>
        <v>0.36199999999917054</v>
      </c>
      <c r="AA16" s="445"/>
      <c r="AC16" s="435"/>
    </row>
    <row r="17" spans="1:30" s="372" customFormat="1" ht="60">
      <c r="A17" s="442">
        <f t="shared" si="7"/>
        <v>4</v>
      </c>
      <c r="B17" s="443" t="s">
        <v>243</v>
      </c>
      <c r="C17" s="444" t="s">
        <v>827</v>
      </c>
      <c r="D17" s="444" t="s">
        <v>824</v>
      </c>
      <c r="E17" s="444" t="s">
        <v>219</v>
      </c>
      <c r="F17" s="445" t="s">
        <v>244</v>
      </c>
      <c r="G17" s="445" t="s">
        <v>34</v>
      </c>
      <c r="H17" s="446">
        <v>11287.361999999999</v>
      </c>
      <c r="I17" s="446"/>
      <c r="J17" s="446">
        <v>11287.361999999999</v>
      </c>
      <c r="K17" s="446"/>
      <c r="L17" s="446">
        <v>11287.361999999999</v>
      </c>
      <c r="M17" s="446">
        <v>9000</v>
      </c>
      <c r="N17" s="446">
        <v>9000</v>
      </c>
      <c r="O17" s="446">
        <v>10351.407999999999</v>
      </c>
      <c r="P17" s="446">
        <f t="shared" si="8"/>
        <v>1468</v>
      </c>
      <c r="Q17" s="446">
        <f>VLOOKUP(B17,'[1]Phụ lục 2'!$B$14:$P$93,14,0)</f>
        <v>1468</v>
      </c>
      <c r="R17" s="446"/>
      <c r="S17" s="446">
        <v>1468</v>
      </c>
      <c r="T17" s="446">
        <v>1468</v>
      </c>
      <c r="U17" s="446"/>
      <c r="V17" s="446">
        <v>1468</v>
      </c>
      <c r="W17" s="446">
        <f t="shared" si="9"/>
        <v>1468</v>
      </c>
      <c r="X17" s="447">
        <v>1468</v>
      </c>
      <c r="Y17" s="446"/>
      <c r="Z17" s="446">
        <f t="shared" si="6"/>
        <v>0</v>
      </c>
      <c r="AA17" s="445"/>
      <c r="AC17" s="435"/>
    </row>
    <row r="18" spans="1:30" s="449" customFormat="1" ht="60">
      <c r="A18" s="442">
        <f t="shared" si="7"/>
        <v>5</v>
      </c>
      <c r="B18" s="479" t="s">
        <v>203</v>
      </c>
      <c r="C18" s="448" t="s">
        <v>828</v>
      </c>
      <c r="D18" s="480" t="s">
        <v>821</v>
      </c>
      <c r="E18" s="448" t="s">
        <v>835</v>
      </c>
      <c r="F18" s="445" t="s">
        <v>924</v>
      </c>
      <c r="G18" s="445" t="s">
        <v>34</v>
      </c>
      <c r="H18" s="446">
        <v>11708</v>
      </c>
      <c r="I18" s="446">
        <f>2500</f>
        <v>2500</v>
      </c>
      <c r="J18" s="446">
        <f>+H18-I18</f>
        <v>9208</v>
      </c>
      <c r="K18" s="446"/>
      <c r="L18" s="446">
        <v>11708</v>
      </c>
      <c r="M18" s="446">
        <v>8500</v>
      </c>
      <c r="N18" s="446">
        <f>+M18</f>
        <v>8500</v>
      </c>
      <c r="O18" s="446">
        <v>11358</v>
      </c>
      <c r="P18" s="446">
        <f t="shared" si="8"/>
        <v>2858</v>
      </c>
      <c r="Q18" s="446">
        <f>VLOOKUP(B18,'[1]Phụ lục 2'!$B$14:$P$93,14,0)</f>
        <v>2858</v>
      </c>
      <c r="R18" s="446"/>
      <c r="S18" s="446">
        <v>2858</v>
      </c>
      <c r="T18" s="446">
        <v>2858</v>
      </c>
      <c r="U18" s="446"/>
      <c r="V18" s="446">
        <v>2858</v>
      </c>
      <c r="W18" s="446">
        <f t="shared" si="9"/>
        <v>2858</v>
      </c>
      <c r="X18" s="447">
        <v>1609</v>
      </c>
      <c r="Y18" s="446">
        <v>1249</v>
      </c>
      <c r="Z18" s="446">
        <f t="shared" si="6"/>
        <v>0</v>
      </c>
      <c r="AA18" s="445"/>
      <c r="AC18" s="435"/>
      <c r="AD18" s="372"/>
    </row>
    <row r="19" spans="1:30" s="372" customFormat="1" ht="60">
      <c r="A19" s="442">
        <f t="shared" si="7"/>
        <v>6</v>
      </c>
      <c r="B19" s="443" t="s">
        <v>258</v>
      </c>
      <c r="C19" s="444" t="s">
        <v>41</v>
      </c>
      <c r="D19" s="444" t="s">
        <v>824</v>
      </c>
      <c r="E19" s="444" t="s">
        <v>246</v>
      </c>
      <c r="F19" s="445" t="s">
        <v>259</v>
      </c>
      <c r="G19" s="445" t="s">
        <v>34</v>
      </c>
      <c r="H19" s="446">
        <v>10643</v>
      </c>
      <c r="I19" s="446"/>
      <c r="J19" s="446">
        <v>10643</v>
      </c>
      <c r="K19" s="446"/>
      <c r="L19" s="446">
        <v>10643</v>
      </c>
      <c r="M19" s="446">
        <v>6000</v>
      </c>
      <c r="N19" s="446">
        <v>6000</v>
      </c>
      <c r="O19" s="446">
        <v>8769.8140000000003</v>
      </c>
      <c r="P19" s="446">
        <f t="shared" si="8"/>
        <v>3376</v>
      </c>
      <c r="Q19" s="446">
        <f>VLOOKUP(B19,'[1]Phụ lục 2'!$B$14:$P$93,14,0)</f>
        <v>3376</v>
      </c>
      <c r="R19" s="446"/>
      <c r="S19" s="446">
        <v>3376</v>
      </c>
      <c r="T19" s="446">
        <v>3376</v>
      </c>
      <c r="U19" s="446"/>
      <c r="V19" s="446">
        <v>3376</v>
      </c>
      <c r="W19" s="446">
        <f t="shared" si="9"/>
        <v>3376</v>
      </c>
      <c r="X19" s="447">
        <v>3376</v>
      </c>
      <c r="Y19" s="446"/>
      <c r="Z19" s="446">
        <f t="shared" si="6"/>
        <v>0</v>
      </c>
      <c r="AA19" s="445"/>
      <c r="AC19" s="435"/>
    </row>
    <row r="20" spans="1:30" s="372" customFormat="1" ht="75">
      <c r="A20" s="442">
        <f t="shared" si="7"/>
        <v>7</v>
      </c>
      <c r="B20" s="443" t="s">
        <v>245</v>
      </c>
      <c r="C20" s="444" t="s">
        <v>836</v>
      </c>
      <c r="D20" s="444" t="s">
        <v>826</v>
      </c>
      <c r="E20" s="444" t="s">
        <v>246</v>
      </c>
      <c r="F20" s="445" t="s">
        <v>247</v>
      </c>
      <c r="G20" s="445" t="s">
        <v>34</v>
      </c>
      <c r="H20" s="446">
        <v>29319.806</v>
      </c>
      <c r="I20" s="446">
        <v>5000</v>
      </c>
      <c r="J20" s="446">
        <f>29319.806-5000</f>
        <v>24319.806</v>
      </c>
      <c r="K20" s="446"/>
      <c r="L20" s="446">
        <v>29319.806</v>
      </c>
      <c r="M20" s="446">
        <v>22426.75</v>
      </c>
      <c r="N20" s="446">
        <v>17426.75</v>
      </c>
      <c r="O20" s="446">
        <v>24085.528999999999</v>
      </c>
      <c r="P20" s="446">
        <f t="shared" si="8"/>
        <v>4993</v>
      </c>
      <c r="Q20" s="446">
        <f>VLOOKUP(B20,'[1]Phụ lục 2'!$B$14:$P$93,14,0)</f>
        <v>4993</v>
      </c>
      <c r="R20" s="446"/>
      <c r="S20" s="446">
        <v>4993</v>
      </c>
      <c r="T20" s="446">
        <v>4993</v>
      </c>
      <c r="U20" s="446"/>
      <c r="V20" s="446">
        <v>4993</v>
      </c>
      <c r="W20" s="446">
        <f t="shared" si="9"/>
        <v>4993</v>
      </c>
      <c r="X20" s="447">
        <v>4993</v>
      </c>
      <c r="Y20" s="446"/>
      <c r="Z20" s="446">
        <f t="shared" si="6"/>
        <v>0</v>
      </c>
      <c r="AA20" s="445"/>
      <c r="AC20" s="435"/>
    </row>
    <row r="21" spans="1:30" s="372" customFormat="1" ht="60">
      <c r="A21" s="442">
        <f t="shared" si="7"/>
        <v>8</v>
      </c>
      <c r="B21" s="443" t="s">
        <v>266</v>
      </c>
      <c r="C21" s="444" t="s">
        <v>827</v>
      </c>
      <c r="D21" s="444" t="s">
        <v>824</v>
      </c>
      <c r="E21" s="444" t="s">
        <v>246</v>
      </c>
      <c r="F21" s="480" t="s">
        <v>267</v>
      </c>
      <c r="G21" s="445" t="s">
        <v>34</v>
      </c>
      <c r="H21" s="446">
        <v>6015.0684000000001</v>
      </c>
      <c r="I21" s="446"/>
      <c r="J21" s="446">
        <v>6015.0684000000001</v>
      </c>
      <c r="K21" s="446"/>
      <c r="L21" s="446">
        <v>6015.0684000000001</v>
      </c>
      <c r="M21" s="446">
        <v>5000</v>
      </c>
      <c r="N21" s="446">
        <v>5000</v>
      </c>
      <c r="O21" s="446">
        <v>5260.4579999999996</v>
      </c>
      <c r="P21" s="446">
        <f t="shared" si="8"/>
        <v>431</v>
      </c>
      <c r="Q21" s="446">
        <f>VLOOKUP(B21,'[1]Phụ lục 2'!$B$14:$P$93,14,0)</f>
        <v>431</v>
      </c>
      <c r="R21" s="446"/>
      <c r="S21" s="446">
        <v>431</v>
      </c>
      <c r="T21" s="446">
        <v>431</v>
      </c>
      <c r="U21" s="446"/>
      <c r="V21" s="446">
        <v>431</v>
      </c>
      <c r="W21" s="446">
        <f t="shared" si="9"/>
        <v>431</v>
      </c>
      <c r="X21" s="447">
        <v>431</v>
      </c>
      <c r="Y21" s="446"/>
      <c r="Z21" s="446">
        <f t="shared" si="6"/>
        <v>0</v>
      </c>
      <c r="AA21" s="445"/>
      <c r="AC21" s="435"/>
    </row>
    <row r="22" spans="1:30" s="372" customFormat="1" ht="60">
      <c r="A22" s="442">
        <f t="shared" si="7"/>
        <v>9</v>
      </c>
      <c r="B22" s="443" t="s">
        <v>264</v>
      </c>
      <c r="C22" s="444" t="s">
        <v>825</v>
      </c>
      <c r="D22" s="444" t="s">
        <v>824</v>
      </c>
      <c r="E22" s="444" t="s">
        <v>246</v>
      </c>
      <c r="F22" s="480" t="s">
        <v>837</v>
      </c>
      <c r="G22" s="445" t="s">
        <v>34</v>
      </c>
      <c r="H22" s="446">
        <v>6608.9780000000001</v>
      </c>
      <c r="I22" s="446"/>
      <c r="J22" s="446">
        <v>6608.9780000000001</v>
      </c>
      <c r="K22" s="446"/>
      <c r="L22" s="446">
        <v>6608.9780000000001</v>
      </c>
      <c r="M22" s="446">
        <v>5000</v>
      </c>
      <c r="N22" s="446">
        <v>5000</v>
      </c>
      <c r="O22" s="446">
        <v>6211.2169999999996</v>
      </c>
      <c r="P22" s="446">
        <f t="shared" si="8"/>
        <v>1455</v>
      </c>
      <c r="Q22" s="446">
        <f>VLOOKUP(B22,'[1]Phụ lục 2'!$B$14:$P$93,14,0)</f>
        <v>1455</v>
      </c>
      <c r="R22" s="446"/>
      <c r="S22" s="446">
        <v>1455</v>
      </c>
      <c r="T22" s="446">
        <v>1455</v>
      </c>
      <c r="U22" s="446"/>
      <c r="V22" s="446">
        <v>1455</v>
      </c>
      <c r="W22" s="446">
        <f t="shared" si="9"/>
        <v>1455</v>
      </c>
      <c r="X22" s="447">
        <v>1455</v>
      </c>
      <c r="Y22" s="446"/>
      <c r="Z22" s="446">
        <f t="shared" si="6"/>
        <v>0</v>
      </c>
      <c r="AA22" s="445"/>
      <c r="AC22" s="435"/>
    </row>
    <row r="23" spans="1:30" s="372" customFormat="1" ht="60">
      <c r="A23" s="442">
        <f t="shared" si="7"/>
        <v>10</v>
      </c>
      <c r="B23" s="443" t="s">
        <v>262</v>
      </c>
      <c r="C23" s="444" t="s">
        <v>838</v>
      </c>
      <c r="D23" s="444" t="s">
        <v>821</v>
      </c>
      <c r="E23" s="444" t="s">
        <v>246</v>
      </c>
      <c r="F23" s="480" t="s">
        <v>263</v>
      </c>
      <c r="G23" s="445" t="s">
        <v>34</v>
      </c>
      <c r="H23" s="446">
        <v>4139.3530000000001</v>
      </c>
      <c r="I23" s="446"/>
      <c r="J23" s="446">
        <v>4139.3530000000001</v>
      </c>
      <c r="K23" s="446"/>
      <c r="L23" s="446">
        <v>4139.3530000000001</v>
      </c>
      <c r="M23" s="446">
        <v>3500</v>
      </c>
      <c r="N23" s="446">
        <v>3500</v>
      </c>
      <c r="O23" s="446">
        <v>3857.3159999999998</v>
      </c>
      <c r="P23" s="446">
        <f t="shared" si="8"/>
        <v>639</v>
      </c>
      <c r="Q23" s="446">
        <f>VLOOKUP(B23,'[1]Phụ lục 2'!$B$14:$P$93,14,0)</f>
        <v>639</v>
      </c>
      <c r="R23" s="446"/>
      <c r="S23" s="446">
        <v>639</v>
      </c>
      <c r="T23" s="446">
        <v>639</v>
      </c>
      <c r="U23" s="446"/>
      <c r="V23" s="446">
        <v>639</v>
      </c>
      <c r="W23" s="446">
        <f t="shared" si="9"/>
        <v>639</v>
      </c>
      <c r="X23" s="447">
        <v>639</v>
      </c>
      <c r="Y23" s="446"/>
      <c r="Z23" s="446">
        <f t="shared" si="6"/>
        <v>0</v>
      </c>
      <c r="AA23" s="445"/>
      <c r="AC23" s="435"/>
    </row>
    <row r="24" spans="1:30" s="372" customFormat="1" ht="45">
      <c r="A24" s="442">
        <f t="shared" si="7"/>
        <v>11</v>
      </c>
      <c r="B24" s="443" t="s">
        <v>297</v>
      </c>
      <c r="C24" s="444" t="s">
        <v>839</v>
      </c>
      <c r="D24" s="444" t="s">
        <v>826</v>
      </c>
      <c r="E24" s="444" t="s">
        <v>246</v>
      </c>
      <c r="F24" s="445" t="s">
        <v>840</v>
      </c>
      <c r="G24" s="445" t="s">
        <v>34</v>
      </c>
      <c r="H24" s="446">
        <v>13500</v>
      </c>
      <c r="I24" s="446"/>
      <c r="J24" s="446">
        <v>13500</v>
      </c>
      <c r="K24" s="446"/>
      <c r="L24" s="446">
        <v>13500</v>
      </c>
      <c r="M24" s="446">
        <v>8500</v>
      </c>
      <c r="N24" s="446">
        <v>8500</v>
      </c>
      <c r="O24" s="446">
        <v>12998.967000000001</v>
      </c>
      <c r="P24" s="446">
        <f t="shared" si="8"/>
        <v>4837</v>
      </c>
      <c r="Q24" s="446">
        <f>VLOOKUP(B24,'[1]Phụ lục 2'!$B$14:$P$93,14,0)</f>
        <v>4837</v>
      </c>
      <c r="R24" s="446"/>
      <c r="S24" s="446">
        <v>4837</v>
      </c>
      <c r="T24" s="446">
        <v>4837</v>
      </c>
      <c r="U24" s="446"/>
      <c r="V24" s="446">
        <v>4837</v>
      </c>
      <c r="W24" s="446">
        <f t="shared" si="9"/>
        <v>4837</v>
      </c>
      <c r="X24" s="447">
        <v>4837</v>
      </c>
      <c r="Y24" s="446"/>
      <c r="Z24" s="446">
        <f t="shared" si="6"/>
        <v>0</v>
      </c>
      <c r="AA24" s="445"/>
      <c r="AC24" s="435"/>
    </row>
    <row r="25" spans="1:30" s="372" customFormat="1" ht="45">
      <c r="A25" s="442">
        <f t="shared" si="7"/>
        <v>12</v>
      </c>
      <c r="B25" s="287" t="s">
        <v>272</v>
      </c>
      <c r="C25" s="448" t="s">
        <v>37</v>
      </c>
      <c r="D25" s="444" t="s">
        <v>824</v>
      </c>
      <c r="E25" s="444" t="s">
        <v>246</v>
      </c>
      <c r="F25" s="448" t="s">
        <v>841</v>
      </c>
      <c r="G25" s="445" t="s">
        <v>34</v>
      </c>
      <c r="H25" s="481">
        <v>4243.0550000000003</v>
      </c>
      <c r="I25" s="481"/>
      <c r="J25" s="481">
        <v>4243.0550000000003</v>
      </c>
      <c r="K25" s="481"/>
      <c r="L25" s="481">
        <v>4243.0550000000003</v>
      </c>
      <c r="M25" s="446">
        <v>4000</v>
      </c>
      <c r="N25" s="446">
        <v>4000</v>
      </c>
      <c r="O25" s="446">
        <v>3970.6559999999999</v>
      </c>
      <c r="P25" s="446">
        <f t="shared" si="8"/>
        <v>42</v>
      </c>
      <c r="Q25" s="446">
        <f>VLOOKUP(B25,'[1]Phụ lục 2'!$B$14:$P$93,14,0)</f>
        <v>42</v>
      </c>
      <c r="R25" s="446"/>
      <c r="S25" s="446">
        <v>42</v>
      </c>
      <c r="T25" s="446">
        <v>42</v>
      </c>
      <c r="U25" s="446"/>
      <c r="V25" s="446">
        <v>42</v>
      </c>
      <c r="W25" s="446">
        <f t="shared" si="9"/>
        <v>42</v>
      </c>
      <c r="X25" s="447">
        <v>42</v>
      </c>
      <c r="Y25" s="446"/>
      <c r="Z25" s="446">
        <f t="shared" si="6"/>
        <v>0</v>
      </c>
      <c r="AA25" s="445"/>
      <c r="AC25" s="435"/>
    </row>
    <row r="26" spans="1:30" s="372" customFormat="1" ht="45">
      <c r="A26" s="442">
        <f t="shared" si="7"/>
        <v>13</v>
      </c>
      <c r="B26" s="287" t="s">
        <v>274</v>
      </c>
      <c r="C26" s="448" t="s">
        <v>37</v>
      </c>
      <c r="D26" s="444" t="s">
        <v>824</v>
      </c>
      <c r="E26" s="444" t="s">
        <v>246</v>
      </c>
      <c r="F26" s="482" t="s">
        <v>842</v>
      </c>
      <c r="G26" s="445" t="s">
        <v>34</v>
      </c>
      <c r="H26" s="481">
        <v>3815.4879999999998</v>
      </c>
      <c r="I26" s="481"/>
      <c r="J26" s="481">
        <v>3815.4879999999998</v>
      </c>
      <c r="K26" s="481"/>
      <c r="L26" s="481">
        <v>3815.4879999999998</v>
      </c>
      <c r="M26" s="446">
        <v>3500</v>
      </c>
      <c r="N26" s="446">
        <v>3500</v>
      </c>
      <c r="O26" s="446">
        <v>3573.1729999999998</v>
      </c>
      <c r="P26" s="446">
        <f t="shared" si="8"/>
        <v>164</v>
      </c>
      <c r="Q26" s="446">
        <f>VLOOKUP(B26,'[1]Phụ lục 2'!$B$14:$P$93,14,0)</f>
        <v>164</v>
      </c>
      <c r="R26" s="446"/>
      <c r="S26" s="446">
        <v>164</v>
      </c>
      <c r="T26" s="446">
        <v>164</v>
      </c>
      <c r="U26" s="446"/>
      <c r="V26" s="446">
        <v>164</v>
      </c>
      <c r="W26" s="446">
        <f>SUM(X26:Y26)</f>
        <v>164</v>
      </c>
      <c r="X26" s="447">
        <v>164</v>
      </c>
      <c r="Y26" s="446"/>
      <c r="Z26" s="446">
        <f t="shared" si="6"/>
        <v>0</v>
      </c>
      <c r="AA26" s="445"/>
      <c r="AC26" s="435"/>
    </row>
    <row r="27" spans="1:30" s="372" customFormat="1" ht="60">
      <c r="A27" s="442">
        <f t="shared" si="7"/>
        <v>14</v>
      </c>
      <c r="B27" s="287" t="s">
        <v>938</v>
      </c>
      <c r="C27" s="448" t="s">
        <v>939</v>
      </c>
      <c r="D27" s="480"/>
      <c r="E27" s="444"/>
      <c r="F27" s="482" t="s">
        <v>200</v>
      </c>
      <c r="G27" s="445" t="s">
        <v>34</v>
      </c>
      <c r="H27" s="483">
        <v>8854</v>
      </c>
      <c r="I27" s="484"/>
      <c r="J27" s="484">
        <f>+H27</f>
        <v>8854</v>
      </c>
      <c r="K27" s="484"/>
      <c r="L27" s="483">
        <v>8854</v>
      </c>
      <c r="M27" s="446">
        <v>8000</v>
      </c>
      <c r="N27" s="446">
        <v>8000</v>
      </c>
      <c r="O27" s="446">
        <v>8195</v>
      </c>
      <c r="P27" s="446">
        <f t="shared" si="8"/>
        <v>195</v>
      </c>
      <c r="Q27" s="446">
        <f>VLOOKUP(B27,'[1]Phụ lục 2'!$B$14:$P$93,14,0)</f>
        <v>195</v>
      </c>
      <c r="R27" s="446"/>
      <c r="S27" s="446">
        <v>195</v>
      </c>
      <c r="T27" s="446">
        <v>195</v>
      </c>
      <c r="U27" s="446"/>
      <c r="V27" s="446">
        <v>195</v>
      </c>
      <c r="W27" s="446">
        <f>SUM(X27:Y27)</f>
        <v>195</v>
      </c>
      <c r="X27" s="446"/>
      <c r="Y27" s="446">
        <v>195</v>
      </c>
      <c r="Z27" s="446">
        <f t="shared" si="6"/>
        <v>0</v>
      </c>
      <c r="AA27" s="445"/>
      <c r="AC27" s="435"/>
    </row>
    <row r="28" spans="1:30" s="372" customFormat="1" ht="60">
      <c r="A28" s="442">
        <f t="shared" si="7"/>
        <v>15</v>
      </c>
      <c r="B28" s="287" t="s">
        <v>332</v>
      </c>
      <c r="C28" s="448" t="s">
        <v>944</v>
      </c>
      <c r="D28" s="480"/>
      <c r="E28" s="444"/>
      <c r="F28" s="482" t="s">
        <v>333</v>
      </c>
      <c r="G28" s="482" t="s">
        <v>34</v>
      </c>
      <c r="H28" s="483">
        <v>2231.3119999999999</v>
      </c>
      <c r="I28" s="484"/>
      <c r="J28" s="484">
        <f>+H28</f>
        <v>2231.3119999999999</v>
      </c>
      <c r="K28" s="484"/>
      <c r="L28" s="483">
        <v>2231.3119999999999</v>
      </c>
      <c r="M28" s="446">
        <v>2000</v>
      </c>
      <c r="N28" s="446">
        <v>2000</v>
      </c>
      <c r="O28" s="446">
        <v>1890.2180000000001</v>
      </c>
      <c r="P28" s="446">
        <f t="shared" si="8"/>
        <v>164</v>
      </c>
      <c r="Q28" s="446">
        <f>VLOOKUP(B28,'[1]Phụ lục 2'!$B$14:$P$93,14,0)</f>
        <v>164</v>
      </c>
      <c r="R28" s="446"/>
      <c r="S28" s="446">
        <v>164</v>
      </c>
      <c r="T28" s="446">
        <v>164</v>
      </c>
      <c r="U28" s="446"/>
      <c r="V28" s="446">
        <v>164</v>
      </c>
      <c r="W28" s="446">
        <f>SUM(X28:Y28)</f>
        <v>164</v>
      </c>
      <c r="X28" s="446"/>
      <c r="Y28" s="446">
        <v>164</v>
      </c>
      <c r="Z28" s="446">
        <f t="shared" si="6"/>
        <v>0</v>
      </c>
      <c r="AA28" s="445"/>
      <c r="AC28" s="435"/>
    </row>
    <row r="29" spans="1:30" s="372" customFormat="1" ht="45">
      <c r="A29" s="442">
        <f t="shared" si="7"/>
        <v>16</v>
      </c>
      <c r="B29" s="287" t="s">
        <v>890</v>
      </c>
      <c r="C29" s="448" t="s">
        <v>631</v>
      </c>
      <c r="D29" s="444" t="s">
        <v>891</v>
      </c>
      <c r="E29" s="444" t="s">
        <v>219</v>
      </c>
      <c r="F29" s="482" t="s">
        <v>894</v>
      </c>
      <c r="G29" s="482" t="s">
        <v>34</v>
      </c>
      <c r="H29" s="481">
        <v>4300</v>
      </c>
      <c r="I29" s="481"/>
      <c r="J29" s="481">
        <v>4300</v>
      </c>
      <c r="K29" s="481"/>
      <c r="L29" s="481">
        <v>4300</v>
      </c>
      <c r="M29" s="446">
        <v>2100</v>
      </c>
      <c r="N29" s="446">
        <v>2100</v>
      </c>
      <c r="O29" s="446">
        <v>4083.6559999999999</v>
      </c>
      <c r="P29" s="446">
        <f t="shared" si="8"/>
        <v>2300</v>
      </c>
      <c r="Q29" s="446">
        <f>VLOOKUP(B29,'[1]Phụ lục 2'!$B$14:$P$93,14,0)</f>
        <v>2300</v>
      </c>
      <c r="R29" s="446"/>
      <c r="S29" s="446">
        <v>2300</v>
      </c>
      <c r="T29" s="446">
        <v>2300</v>
      </c>
      <c r="U29" s="446"/>
      <c r="V29" s="446">
        <v>2300</v>
      </c>
      <c r="W29" s="446">
        <v>3000</v>
      </c>
      <c r="X29" s="447">
        <v>3000</v>
      </c>
      <c r="Y29" s="446"/>
      <c r="Z29" s="446">
        <f t="shared" si="6"/>
        <v>0</v>
      </c>
      <c r="AA29" s="445"/>
      <c r="AC29" s="435"/>
    </row>
    <row r="30" spans="1:30" s="441" customFormat="1" ht="28.5">
      <c r="A30" s="436" t="s">
        <v>29</v>
      </c>
      <c r="B30" s="450" t="s">
        <v>887</v>
      </c>
      <c r="C30" s="450"/>
      <c r="D30" s="438"/>
      <c r="E30" s="438"/>
      <c r="F30" s="439"/>
      <c r="G30" s="439"/>
      <c r="H30" s="440">
        <f t="shared" ref="H30:Z30" si="10">SUM(H31:H38)</f>
        <v>89287.902999999991</v>
      </c>
      <c r="I30" s="440">
        <f t="shared" si="10"/>
        <v>0</v>
      </c>
      <c r="J30" s="440">
        <f t="shared" si="10"/>
        <v>87787.902999999991</v>
      </c>
      <c r="K30" s="440">
        <f t="shared" si="10"/>
        <v>1500</v>
      </c>
      <c r="L30" s="440">
        <f t="shared" si="10"/>
        <v>89287.902999999991</v>
      </c>
      <c r="M30" s="440">
        <f t="shared" si="10"/>
        <v>41577.995000000003</v>
      </c>
      <c r="N30" s="440">
        <f t="shared" si="10"/>
        <v>41577.995000000003</v>
      </c>
      <c r="O30" s="440">
        <f t="shared" si="10"/>
        <v>75984.595701000013</v>
      </c>
      <c r="P30" s="440">
        <f t="shared" si="10"/>
        <v>40430.400000000001</v>
      </c>
      <c r="Q30" s="440">
        <f t="shared" si="10"/>
        <v>40430.400000000001</v>
      </c>
      <c r="R30" s="440">
        <f t="shared" si="10"/>
        <v>0</v>
      </c>
      <c r="S30" s="440">
        <f t="shared" si="10"/>
        <v>40430.400000000001</v>
      </c>
      <c r="T30" s="440">
        <f t="shared" si="10"/>
        <v>40430.400000000001</v>
      </c>
      <c r="U30" s="440">
        <f t="shared" si="10"/>
        <v>0</v>
      </c>
      <c r="V30" s="440">
        <f t="shared" si="10"/>
        <v>36316.122701</v>
      </c>
      <c r="W30" s="440">
        <f t="shared" si="10"/>
        <v>40616.122701</v>
      </c>
      <c r="X30" s="440">
        <f t="shared" si="10"/>
        <v>39477.159700999997</v>
      </c>
      <c r="Y30" s="440">
        <f t="shared" si="10"/>
        <v>1138.963</v>
      </c>
      <c r="Z30" s="440">
        <f t="shared" si="10"/>
        <v>0</v>
      </c>
      <c r="AA30" s="439"/>
      <c r="AC30" s="435"/>
      <c r="AD30" s="372"/>
    </row>
    <row r="31" spans="1:30" s="372" customFormat="1" ht="45">
      <c r="A31" s="451">
        <v>1</v>
      </c>
      <c r="B31" s="443" t="s">
        <v>278</v>
      </c>
      <c r="C31" s="444" t="s">
        <v>825</v>
      </c>
      <c r="D31" s="444" t="s">
        <v>831</v>
      </c>
      <c r="E31" s="444" t="s">
        <v>33</v>
      </c>
      <c r="F31" s="445" t="s">
        <v>844</v>
      </c>
      <c r="G31" s="482" t="s">
        <v>34</v>
      </c>
      <c r="H31" s="446">
        <v>4980.9030000000002</v>
      </c>
      <c r="I31" s="446"/>
      <c r="J31" s="446">
        <v>4980.9030000000002</v>
      </c>
      <c r="K31" s="446"/>
      <c r="L31" s="446">
        <v>4980.9030000000002</v>
      </c>
      <c r="M31" s="446">
        <v>3000</v>
      </c>
      <c r="N31" s="446">
        <v>3000</v>
      </c>
      <c r="O31" s="446">
        <v>4745.0110000000004</v>
      </c>
      <c r="P31" s="446">
        <f t="shared" si="8"/>
        <v>1789</v>
      </c>
      <c r="Q31" s="446">
        <f>VLOOKUP(B31,'[1]Phụ lục 2'!$B$14:$P$93,14,0)</f>
        <v>1789</v>
      </c>
      <c r="R31" s="446"/>
      <c r="S31" s="446">
        <v>1789</v>
      </c>
      <c r="T31" s="446">
        <v>1789</v>
      </c>
      <c r="U31" s="446"/>
      <c r="V31" s="446">
        <v>1789</v>
      </c>
      <c r="W31" s="446">
        <v>1789</v>
      </c>
      <c r="X31" s="447">
        <v>1789</v>
      </c>
      <c r="Y31" s="446"/>
      <c r="Z31" s="446">
        <f t="shared" ref="Z31:Z38" si="11">IF((O31-M31-W31)&gt;0,O31-M31-W31,0)</f>
        <v>0</v>
      </c>
      <c r="AA31" s="445"/>
      <c r="AC31" s="435"/>
    </row>
    <row r="32" spans="1:30" s="372" customFormat="1" ht="45">
      <c r="A32" s="451">
        <v>2</v>
      </c>
      <c r="B32" s="443" t="s">
        <v>276</v>
      </c>
      <c r="C32" s="444" t="s">
        <v>834</v>
      </c>
      <c r="D32" s="444" t="s">
        <v>845</v>
      </c>
      <c r="E32" s="444" t="s">
        <v>33</v>
      </c>
      <c r="F32" s="445" t="s">
        <v>846</v>
      </c>
      <c r="G32" s="482" t="s">
        <v>34</v>
      </c>
      <c r="H32" s="446">
        <v>7136</v>
      </c>
      <c r="I32" s="446"/>
      <c r="J32" s="446">
        <v>7136</v>
      </c>
      <c r="K32" s="446"/>
      <c r="L32" s="446">
        <v>7136</v>
      </c>
      <c r="M32" s="446">
        <v>5000</v>
      </c>
      <c r="N32" s="446">
        <v>5000</v>
      </c>
      <c r="O32" s="446">
        <v>6579.723</v>
      </c>
      <c r="P32" s="446">
        <f t="shared" si="8"/>
        <v>1795</v>
      </c>
      <c r="Q32" s="446">
        <f>VLOOKUP(B32,'[1]Phụ lục 2'!$B$14:$P$93,14,0)</f>
        <v>1795</v>
      </c>
      <c r="R32" s="446"/>
      <c r="S32" s="446">
        <v>1795</v>
      </c>
      <c r="T32" s="446">
        <v>1795</v>
      </c>
      <c r="U32" s="446"/>
      <c r="V32" s="446">
        <v>1795</v>
      </c>
      <c r="W32" s="446">
        <v>1795</v>
      </c>
      <c r="X32" s="447">
        <v>1795</v>
      </c>
      <c r="Y32" s="446"/>
      <c r="Z32" s="446">
        <f t="shared" si="11"/>
        <v>0</v>
      </c>
      <c r="AA32" s="445"/>
      <c r="AC32" s="435"/>
    </row>
    <row r="33" spans="1:32" s="372" customFormat="1" ht="60">
      <c r="A33" s="451">
        <v>3</v>
      </c>
      <c r="B33" s="443" t="s">
        <v>32</v>
      </c>
      <c r="C33" s="444" t="s">
        <v>827</v>
      </c>
      <c r="D33" s="444" t="s">
        <v>847</v>
      </c>
      <c r="E33" s="444" t="s">
        <v>33</v>
      </c>
      <c r="F33" s="445" t="s">
        <v>292</v>
      </c>
      <c r="G33" s="482" t="s">
        <v>34</v>
      </c>
      <c r="H33" s="446">
        <v>39313</v>
      </c>
      <c r="I33" s="446"/>
      <c r="J33" s="446">
        <v>39313</v>
      </c>
      <c r="K33" s="446"/>
      <c r="L33" s="446">
        <v>39313</v>
      </c>
      <c r="M33" s="446">
        <v>14000</v>
      </c>
      <c r="N33" s="446">
        <v>14000</v>
      </c>
      <c r="O33" s="446">
        <v>35308.851000000002</v>
      </c>
      <c r="P33" s="446">
        <f t="shared" si="8"/>
        <v>25313</v>
      </c>
      <c r="Q33" s="446">
        <f>VLOOKUP(B33,'[1]Phụ lục 2'!$B$14:$P$93,14,0)</f>
        <v>25313</v>
      </c>
      <c r="R33" s="446"/>
      <c r="S33" s="446">
        <v>25313</v>
      </c>
      <c r="T33" s="446">
        <v>25313</v>
      </c>
      <c r="U33" s="446"/>
      <c r="V33" s="446">
        <f>+O33-M33</f>
        <v>21308.851000000002</v>
      </c>
      <c r="W33" s="446">
        <f>+X33+Y33</f>
        <v>22908.850999999999</v>
      </c>
      <c r="X33" s="447">
        <v>22000</v>
      </c>
      <c r="Y33" s="446">
        <v>908.851</v>
      </c>
      <c r="Z33" s="446">
        <f t="shared" si="11"/>
        <v>0</v>
      </c>
      <c r="AA33" s="445"/>
      <c r="AC33" s="435"/>
    </row>
    <row r="34" spans="1:32" s="372" customFormat="1" ht="60">
      <c r="A34" s="451">
        <v>4</v>
      </c>
      <c r="B34" s="443" t="s">
        <v>299</v>
      </c>
      <c r="C34" s="444" t="s">
        <v>825</v>
      </c>
      <c r="D34" s="444" t="s">
        <v>822</v>
      </c>
      <c r="E34" s="444" t="s">
        <v>33</v>
      </c>
      <c r="F34" s="445" t="s">
        <v>300</v>
      </c>
      <c r="G34" s="482" t="s">
        <v>34</v>
      </c>
      <c r="H34" s="446">
        <v>11835</v>
      </c>
      <c r="I34" s="446"/>
      <c r="J34" s="446">
        <v>11835</v>
      </c>
      <c r="K34" s="446"/>
      <c r="L34" s="446">
        <v>11835</v>
      </c>
      <c r="M34" s="446">
        <v>8000</v>
      </c>
      <c r="N34" s="446">
        <v>8000</v>
      </c>
      <c r="O34" s="446">
        <v>11054</v>
      </c>
      <c r="P34" s="446">
        <f t="shared" si="8"/>
        <v>3500</v>
      </c>
      <c r="Q34" s="446">
        <f>VLOOKUP(B34,'[1]Phụ lục 2'!$B$14:$P$93,14,0)</f>
        <v>3500</v>
      </c>
      <c r="R34" s="446"/>
      <c r="S34" s="446">
        <v>3500</v>
      </c>
      <c r="T34" s="446">
        <v>3500</v>
      </c>
      <c r="U34" s="446"/>
      <c r="V34" s="446">
        <f>+O34-M34</f>
        <v>3054</v>
      </c>
      <c r="W34" s="446">
        <f>+X34+Y34</f>
        <v>3054</v>
      </c>
      <c r="X34" s="447">
        <v>3054</v>
      </c>
      <c r="Y34" s="446"/>
      <c r="Z34" s="446">
        <f t="shared" si="11"/>
        <v>0</v>
      </c>
      <c r="AA34" s="445"/>
      <c r="AC34" s="435"/>
    </row>
    <row r="35" spans="1:32" s="372" customFormat="1" ht="60">
      <c r="A35" s="451">
        <v>5</v>
      </c>
      <c r="B35" s="443" t="s">
        <v>268</v>
      </c>
      <c r="C35" s="444" t="s">
        <v>42</v>
      </c>
      <c r="D35" s="444" t="s">
        <v>822</v>
      </c>
      <c r="E35" s="444" t="s">
        <v>33</v>
      </c>
      <c r="F35" s="480" t="s">
        <v>269</v>
      </c>
      <c r="G35" s="482" t="s">
        <v>34</v>
      </c>
      <c r="H35" s="446">
        <v>5550</v>
      </c>
      <c r="I35" s="446"/>
      <c r="J35" s="446">
        <v>5550</v>
      </c>
      <c r="K35" s="446"/>
      <c r="L35" s="446">
        <v>5550</v>
      </c>
      <c r="M35" s="446">
        <v>4000</v>
      </c>
      <c r="N35" s="446">
        <v>4000</v>
      </c>
      <c r="O35" s="446">
        <f>5194.848-10.321299</f>
        <v>5184.5267009999998</v>
      </c>
      <c r="P35" s="446">
        <f t="shared" si="8"/>
        <v>1550</v>
      </c>
      <c r="Q35" s="446">
        <f>VLOOKUP(B35,'[1]Phụ lục 2'!$B$14:$P$93,14,0)</f>
        <v>1550</v>
      </c>
      <c r="R35" s="446"/>
      <c r="S35" s="446">
        <v>1550</v>
      </c>
      <c r="T35" s="446">
        <v>1550</v>
      </c>
      <c r="U35" s="446"/>
      <c r="V35" s="446">
        <f>+O35-M35</f>
        <v>1184.5267009999998</v>
      </c>
      <c r="W35" s="446">
        <f>+X35+Y35</f>
        <v>1184.5267009999998</v>
      </c>
      <c r="X35" s="447">
        <v>1184.5267009999998</v>
      </c>
      <c r="Y35" s="446"/>
      <c r="Z35" s="446">
        <f t="shared" si="11"/>
        <v>0</v>
      </c>
      <c r="AA35" s="445"/>
      <c r="AC35" s="435"/>
    </row>
    <row r="36" spans="1:32" s="372" customFormat="1" ht="75">
      <c r="A36" s="451">
        <v>6</v>
      </c>
      <c r="B36" s="443" t="s">
        <v>295</v>
      </c>
      <c r="C36" s="444" t="s">
        <v>44</v>
      </c>
      <c r="D36" s="444" t="s">
        <v>847</v>
      </c>
      <c r="E36" s="444" t="s">
        <v>33</v>
      </c>
      <c r="F36" s="445" t="s">
        <v>994</v>
      </c>
      <c r="G36" s="482" t="s">
        <v>34</v>
      </c>
      <c r="H36" s="446">
        <v>11788</v>
      </c>
      <c r="I36" s="446"/>
      <c r="J36" s="446">
        <f>11788-1500</f>
        <v>10288</v>
      </c>
      <c r="K36" s="446">
        <v>1500</v>
      </c>
      <c r="L36" s="446">
        <v>11788</v>
      </c>
      <c r="M36" s="446">
        <f>+N36</f>
        <v>2927.9949999999999</v>
      </c>
      <c r="N36" s="446">
        <v>2927.9949999999999</v>
      </c>
      <c r="O36" s="446">
        <v>8901.74</v>
      </c>
      <c r="P36" s="446">
        <f t="shared" si="8"/>
        <v>2572.4</v>
      </c>
      <c r="Q36" s="446">
        <f>VLOOKUP(B36,'[1]Phụ lục 2'!$B$14:$P$93,14,0)</f>
        <v>2572.4</v>
      </c>
      <c r="R36" s="446"/>
      <c r="S36" s="446">
        <v>2572.4</v>
      </c>
      <c r="T36" s="446">
        <v>2572.4</v>
      </c>
      <c r="U36" s="446"/>
      <c r="V36" s="446">
        <f>+O36-M36</f>
        <v>5973.7449999999999</v>
      </c>
      <c r="W36" s="446">
        <f>+X36+Y36</f>
        <v>5973.7450000000008</v>
      </c>
      <c r="X36" s="447">
        <f>8882.628-N36</f>
        <v>5954.6330000000007</v>
      </c>
      <c r="Y36" s="446">
        <v>19.111999999999998</v>
      </c>
      <c r="Z36" s="446">
        <f t="shared" si="11"/>
        <v>0</v>
      </c>
      <c r="AA36" s="445"/>
      <c r="AC36" s="435"/>
    </row>
    <row r="37" spans="1:32" s="372" customFormat="1" ht="45">
      <c r="A37" s="451">
        <v>7</v>
      </c>
      <c r="B37" s="443" t="s">
        <v>892</v>
      </c>
      <c r="C37" s="444" t="s">
        <v>825</v>
      </c>
      <c r="D37" s="444" t="s">
        <v>847</v>
      </c>
      <c r="E37" s="444" t="s">
        <v>33</v>
      </c>
      <c r="F37" s="445" t="s">
        <v>893</v>
      </c>
      <c r="G37" s="482" t="s">
        <v>34</v>
      </c>
      <c r="H37" s="446">
        <v>4335</v>
      </c>
      <c r="I37" s="446"/>
      <c r="J37" s="446">
        <f>+H37</f>
        <v>4335</v>
      </c>
      <c r="K37" s="446"/>
      <c r="L37" s="446">
        <v>4335</v>
      </c>
      <c r="M37" s="446">
        <v>3000</v>
      </c>
      <c r="N37" s="446">
        <v>3000</v>
      </c>
      <c r="O37" s="446">
        <v>4210.7439999999997</v>
      </c>
      <c r="P37" s="446">
        <f t="shared" si="8"/>
        <v>1211</v>
      </c>
      <c r="Q37" s="446">
        <f>VLOOKUP(B37,'[1]Phụ lục 2'!$B$14:$P$93,14,0)</f>
        <v>1211</v>
      </c>
      <c r="R37" s="446"/>
      <c r="S37" s="446">
        <v>1211</v>
      </c>
      <c r="T37" s="446">
        <v>1211</v>
      </c>
      <c r="U37" s="446"/>
      <c r="V37" s="446">
        <v>1211</v>
      </c>
      <c r="W37" s="446">
        <f>SUM(X37:Y37)</f>
        <v>1211</v>
      </c>
      <c r="X37" s="447">
        <v>1000</v>
      </c>
      <c r="Y37" s="446">
        <v>211</v>
      </c>
      <c r="Z37" s="446">
        <f t="shared" si="11"/>
        <v>0</v>
      </c>
      <c r="AA37" s="445"/>
      <c r="AC37" s="435"/>
    </row>
    <row r="38" spans="1:32" s="453" customFormat="1" ht="60">
      <c r="A38" s="451">
        <v>8</v>
      </c>
      <c r="B38" s="443" t="s">
        <v>848</v>
      </c>
      <c r="C38" s="444" t="s">
        <v>40</v>
      </c>
      <c r="D38" s="480" t="s">
        <v>826</v>
      </c>
      <c r="E38" s="448" t="s">
        <v>33</v>
      </c>
      <c r="F38" s="480" t="s">
        <v>925</v>
      </c>
      <c r="G38" s="482" t="s">
        <v>34</v>
      </c>
      <c r="H38" s="419">
        <v>4350</v>
      </c>
      <c r="I38" s="452"/>
      <c r="J38" s="419">
        <f>H38</f>
        <v>4350</v>
      </c>
      <c r="K38" s="452"/>
      <c r="L38" s="452">
        <v>4350</v>
      </c>
      <c r="M38" s="419">
        <f>N38</f>
        <v>1650</v>
      </c>
      <c r="N38" s="419">
        <v>1650</v>
      </c>
      <c r="O38" s="419"/>
      <c r="P38" s="446">
        <f t="shared" si="8"/>
        <v>2700</v>
      </c>
      <c r="Q38" s="446">
        <f>VLOOKUP(B38,'[1]Phụ lục 2'!$B$14:$P$93,14,0)</f>
        <v>2700</v>
      </c>
      <c r="R38" s="419"/>
      <c r="S38" s="419">
        <v>2700</v>
      </c>
      <c r="T38" s="419">
        <v>2700</v>
      </c>
      <c r="U38" s="419"/>
      <c r="V38" s="419">
        <v>0</v>
      </c>
      <c r="W38" s="419">
        <v>2700</v>
      </c>
      <c r="X38" s="447">
        <v>2700</v>
      </c>
      <c r="Y38" s="419"/>
      <c r="Z38" s="446">
        <f t="shared" si="11"/>
        <v>0</v>
      </c>
      <c r="AA38" s="444"/>
      <c r="AC38" s="435"/>
    </row>
    <row r="39" spans="1:32" s="372" customFormat="1" ht="28.5">
      <c r="A39" s="433" t="s">
        <v>884</v>
      </c>
      <c r="B39" s="454" t="s">
        <v>885</v>
      </c>
      <c r="C39" s="421"/>
      <c r="D39" s="421"/>
      <c r="E39" s="421"/>
      <c r="F39" s="445"/>
      <c r="G39" s="445"/>
      <c r="H39" s="455">
        <f t="shared" ref="H39:Y39" si="12">+H40+H46+H58+H67</f>
        <v>443136</v>
      </c>
      <c r="I39" s="455">
        <f t="shared" si="12"/>
        <v>0</v>
      </c>
      <c r="J39" s="455">
        <f t="shared" si="12"/>
        <v>443136</v>
      </c>
      <c r="K39" s="455">
        <f t="shared" si="12"/>
        <v>0</v>
      </c>
      <c r="L39" s="455">
        <f t="shared" si="12"/>
        <v>429775.10100000002</v>
      </c>
      <c r="M39" s="455">
        <f t="shared" si="12"/>
        <v>2850</v>
      </c>
      <c r="N39" s="455">
        <f t="shared" si="12"/>
        <v>2850</v>
      </c>
      <c r="O39" s="455">
        <f t="shared" si="12"/>
        <v>30240.851999999999</v>
      </c>
      <c r="P39" s="455">
        <f t="shared" si="12"/>
        <v>426658</v>
      </c>
      <c r="Q39" s="455">
        <f t="shared" si="12"/>
        <v>426658</v>
      </c>
      <c r="R39" s="455">
        <f t="shared" si="12"/>
        <v>0</v>
      </c>
      <c r="S39" s="455">
        <f>+S40+S46+S58+S67</f>
        <v>459088.10100000002</v>
      </c>
      <c r="T39" s="455">
        <f t="shared" ref="T39" si="13">+T40+T46+T58+T67</f>
        <v>375088.10100000002</v>
      </c>
      <c r="U39" s="455">
        <f t="shared" si="12"/>
        <v>84000</v>
      </c>
      <c r="V39" s="455">
        <f t="shared" si="12"/>
        <v>375518.47899999999</v>
      </c>
      <c r="W39" s="455">
        <f t="shared" si="12"/>
        <v>55338.6</v>
      </c>
      <c r="X39" s="455">
        <f t="shared" si="12"/>
        <v>6356.6</v>
      </c>
      <c r="Y39" s="455">
        <f t="shared" si="12"/>
        <v>45982</v>
      </c>
      <c r="Z39" s="455" t="e">
        <f>+Z40+Z46+Z58+Z67+#REF!</f>
        <v>#REF!</v>
      </c>
      <c r="AA39" s="445"/>
      <c r="AC39" s="435"/>
    </row>
    <row r="40" spans="1:32" s="441" customFormat="1" ht="14.25">
      <c r="A40" s="433" t="s">
        <v>20</v>
      </c>
      <c r="B40" s="450" t="s">
        <v>935</v>
      </c>
      <c r="C40" s="438"/>
      <c r="D40" s="438"/>
      <c r="E40" s="438"/>
      <c r="F40" s="439"/>
      <c r="G40" s="439"/>
      <c r="H40" s="455">
        <f>SUM(H41:H45)</f>
        <v>35123</v>
      </c>
      <c r="I40" s="455">
        <f t="shared" ref="I40:Z40" si="14">SUM(I41:I45)</f>
        <v>0</v>
      </c>
      <c r="J40" s="455">
        <f t="shared" si="14"/>
        <v>35123</v>
      </c>
      <c r="K40" s="455">
        <f t="shared" si="14"/>
        <v>0</v>
      </c>
      <c r="L40" s="455">
        <f t="shared" si="14"/>
        <v>30458.687000000002</v>
      </c>
      <c r="M40" s="455">
        <f t="shared" si="14"/>
        <v>2850</v>
      </c>
      <c r="N40" s="455">
        <f t="shared" si="14"/>
        <v>2850</v>
      </c>
      <c r="O40" s="455">
        <f t="shared" si="14"/>
        <v>12045.163999999999</v>
      </c>
      <c r="P40" s="455">
        <f t="shared" si="14"/>
        <v>35015</v>
      </c>
      <c r="Q40" s="455">
        <f t="shared" si="14"/>
        <v>35015</v>
      </c>
      <c r="R40" s="455">
        <f t="shared" si="14"/>
        <v>0</v>
      </c>
      <c r="S40" s="455">
        <f t="shared" si="14"/>
        <v>31301.687000000002</v>
      </c>
      <c r="T40" s="455">
        <f t="shared" si="14"/>
        <v>31301.687000000002</v>
      </c>
      <c r="U40" s="455">
        <f t="shared" si="14"/>
        <v>0</v>
      </c>
      <c r="V40" s="455">
        <f t="shared" si="14"/>
        <v>31694.335999999999</v>
      </c>
      <c r="W40" s="455">
        <f t="shared" si="14"/>
        <v>15638.6</v>
      </c>
      <c r="X40" s="455">
        <f t="shared" si="14"/>
        <v>6356.6</v>
      </c>
      <c r="Y40" s="455">
        <f t="shared" si="14"/>
        <v>9282</v>
      </c>
      <c r="Z40" s="455">
        <f t="shared" si="14"/>
        <v>0</v>
      </c>
      <c r="AA40" s="455"/>
      <c r="AC40" s="435"/>
    </row>
    <row r="41" spans="1:32" s="458" customFormat="1" ht="60">
      <c r="A41" s="451">
        <f>ROW()-40</f>
        <v>1</v>
      </c>
      <c r="B41" s="456" t="s">
        <v>852</v>
      </c>
      <c r="C41" s="444" t="s">
        <v>41</v>
      </c>
      <c r="D41" s="444" t="s">
        <v>325</v>
      </c>
      <c r="E41" s="444">
        <v>2021</v>
      </c>
      <c r="F41" s="480" t="s">
        <v>996</v>
      </c>
      <c r="G41" s="457" t="s">
        <v>36</v>
      </c>
      <c r="H41" s="447">
        <v>14990</v>
      </c>
      <c r="I41" s="447"/>
      <c r="J41" s="447">
        <f>+H41</f>
        <v>14990</v>
      </c>
      <c r="K41" s="447"/>
      <c r="L41" s="447">
        <f>14990-2300</f>
        <v>12690</v>
      </c>
      <c r="M41" s="447"/>
      <c r="N41" s="447"/>
      <c r="O41" s="447">
        <v>4163</v>
      </c>
      <c r="P41" s="446">
        <f t="shared" si="8"/>
        <v>14990</v>
      </c>
      <c r="Q41" s="446">
        <f>VLOOKUP(B41,'[1]Phụ lục 2'!$B$14:$P$93,14,0)</f>
        <v>14990</v>
      </c>
      <c r="R41" s="447"/>
      <c r="S41" s="447">
        <v>12690</v>
      </c>
      <c r="T41" s="447">
        <v>12690</v>
      </c>
      <c r="U41" s="447"/>
      <c r="V41" s="447">
        <f>14990-2300</f>
        <v>12690</v>
      </c>
      <c r="W41" s="447">
        <f>SUM(X41:Y41)</f>
        <v>5056.6000000000004</v>
      </c>
      <c r="X41" s="447">
        <v>5056.6000000000004</v>
      </c>
      <c r="Y41" s="447"/>
      <c r="Z41" s="446">
        <f>IF((O41-M41-W41)&gt;0,O41-M41-W41,0)</f>
        <v>0</v>
      </c>
      <c r="AA41" s="445"/>
      <c r="AB41" s="372"/>
      <c r="AC41" s="435"/>
      <c r="AD41" s="372"/>
      <c r="AE41" s="372"/>
      <c r="AF41" s="372"/>
    </row>
    <row r="42" spans="1:32" s="372" customFormat="1" ht="45">
      <c r="A42" s="451">
        <f t="shared" ref="A42" si="15">ROW()-40</f>
        <v>2</v>
      </c>
      <c r="B42" s="456" t="s">
        <v>961</v>
      </c>
      <c r="C42" s="444" t="s">
        <v>46</v>
      </c>
      <c r="D42" s="444" t="s">
        <v>921</v>
      </c>
      <c r="E42" s="444">
        <v>2022</v>
      </c>
      <c r="F42" s="459" t="s">
        <v>995</v>
      </c>
      <c r="G42" s="457" t="s">
        <v>36</v>
      </c>
      <c r="H42" s="447">
        <v>15000</v>
      </c>
      <c r="I42" s="447"/>
      <c r="J42" s="447">
        <v>15000</v>
      </c>
      <c r="K42" s="447"/>
      <c r="L42" s="447">
        <v>13603.859</v>
      </c>
      <c r="M42" s="447"/>
      <c r="N42" s="447"/>
      <c r="O42" s="447">
        <v>3895</v>
      </c>
      <c r="P42" s="446">
        <f t="shared" si="8"/>
        <v>15000</v>
      </c>
      <c r="Q42" s="446">
        <f>VLOOKUP(B42,'[1]Phụ lục 2'!$B$14:$P$93,14,0)</f>
        <v>15000</v>
      </c>
      <c r="R42" s="447"/>
      <c r="S42" s="447">
        <v>13603.859</v>
      </c>
      <c r="T42" s="447">
        <v>13603.859</v>
      </c>
      <c r="U42" s="447"/>
      <c r="V42" s="447">
        <v>15000</v>
      </c>
      <c r="W42" s="447">
        <f>SUM(X42:Y42)</f>
        <v>8400</v>
      </c>
      <c r="X42" s="447"/>
      <c r="Y42" s="447">
        <v>8400</v>
      </c>
      <c r="Z42" s="446">
        <f>IF((O42-M42-W42)&gt;0,O42-M42-W42,0)</f>
        <v>0</v>
      </c>
      <c r="AA42" s="445"/>
      <c r="AC42" s="435"/>
    </row>
    <row r="43" spans="1:32" s="372" customFormat="1" ht="45">
      <c r="A43" s="451">
        <v>1</v>
      </c>
      <c r="B43" s="460" t="s">
        <v>888</v>
      </c>
      <c r="C43" s="444" t="s">
        <v>44</v>
      </c>
      <c r="D43" s="444" t="s">
        <v>896</v>
      </c>
      <c r="E43" s="444">
        <v>2021</v>
      </c>
      <c r="F43" s="459" t="s">
        <v>889</v>
      </c>
      <c r="G43" s="457" t="s">
        <v>34</v>
      </c>
      <c r="H43" s="447">
        <v>2290</v>
      </c>
      <c r="I43" s="447"/>
      <c r="J43" s="447">
        <v>2290</v>
      </c>
      <c r="K43" s="447"/>
      <c r="L43" s="447">
        <v>2164.828</v>
      </c>
      <c r="M43" s="447"/>
      <c r="N43" s="447"/>
      <c r="O43" s="447">
        <v>2164.828</v>
      </c>
      <c r="P43" s="446">
        <f t="shared" si="8"/>
        <v>2182</v>
      </c>
      <c r="Q43" s="446">
        <f>VLOOKUP(B43,'[1]Phụ lục 2'!$B$14:$P$93,14,0)</f>
        <v>2182</v>
      </c>
      <c r="R43" s="447"/>
      <c r="S43" s="447">
        <v>2164.828</v>
      </c>
      <c r="T43" s="447">
        <v>2164.828</v>
      </c>
      <c r="U43" s="447"/>
      <c r="V43" s="447">
        <v>2182</v>
      </c>
      <c r="W43" s="447">
        <f>SUM(X43:Y43)</f>
        <v>2182</v>
      </c>
      <c r="X43" s="447">
        <v>1300</v>
      </c>
      <c r="Y43" s="447">
        <v>882</v>
      </c>
      <c r="Z43" s="446">
        <f>IF((O43-M43-W43)&gt;0,O43-M43-W43,0)</f>
        <v>0</v>
      </c>
      <c r="AA43" s="445"/>
      <c r="AC43" s="435"/>
    </row>
    <row r="44" spans="1:32" s="372" customFormat="1" ht="45">
      <c r="A44" s="451">
        <v>3</v>
      </c>
      <c r="B44" s="460" t="s">
        <v>897</v>
      </c>
      <c r="C44" s="444" t="s">
        <v>91</v>
      </c>
      <c r="D44" s="444" t="s">
        <v>898</v>
      </c>
      <c r="E44" s="444">
        <v>2021</v>
      </c>
      <c r="F44" s="459" t="s">
        <v>899</v>
      </c>
      <c r="G44" s="457" t="s">
        <v>34</v>
      </c>
      <c r="H44" s="447">
        <v>843</v>
      </c>
      <c r="I44" s="447"/>
      <c r="J44" s="447">
        <v>843</v>
      </c>
      <c r="K44" s="447"/>
      <c r="L44" s="447">
        <v>0</v>
      </c>
      <c r="M44" s="447">
        <v>850</v>
      </c>
      <c r="N44" s="447">
        <v>850</v>
      </c>
      <c r="O44" s="447">
        <v>0</v>
      </c>
      <c r="P44" s="446">
        <f t="shared" si="8"/>
        <v>843</v>
      </c>
      <c r="Q44" s="446">
        <f>VLOOKUP(B44,'[1]Phụ lục 2'!$B$14:$P$93,14,0)</f>
        <v>843</v>
      </c>
      <c r="R44" s="447"/>
      <c r="S44" s="447">
        <v>843</v>
      </c>
      <c r="T44" s="447">
        <v>843</v>
      </c>
      <c r="U44" s="447"/>
      <c r="V44" s="447">
        <v>0</v>
      </c>
      <c r="W44" s="447">
        <f>SUM(X44:Y44)</f>
        <v>0</v>
      </c>
      <c r="X44" s="447"/>
      <c r="Y44" s="447"/>
      <c r="Z44" s="446">
        <f>IF((O44-M44-W44)&gt;0,O44-M44-W44,0)</f>
        <v>0</v>
      </c>
      <c r="AA44" s="445"/>
      <c r="AC44" s="435"/>
    </row>
    <row r="45" spans="1:32" s="458" customFormat="1" ht="45">
      <c r="A45" s="451">
        <v>4</v>
      </c>
      <c r="B45" s="460" t="s">
        <v>927</v>
      </c>
      <c r="C45" s="444" t="s">
        <v>947</v>
      </c>
      <c r="D45" s="444" t="s">
        <v>928</v>
      </c>
      <c r="E45" s="444">
        <v>2021</v>
      </c>
      <c r="F45" s="459" t="s">
        <v>997</v>
      </c>
      <c r="G45" s="457" t="s">
        <v>34</v>
      </c>
      <c r="H45" s="447">
        <v>2000</v>
      </c>
      <c r="I45" s="447"/>
      <c r="J45" s="447">
        <v>2000</v>
      </c>
      <c r="K45" s="447"/>
      <c r="L45" s="447">
        <v>2000</v>
      </c>
      <c r="M45" s="447">
        <v>2000</v>
      </c>
      <c r="N45" s="447">
        <v>2000</v>
      </c>
      <c r="O45" s="447">
        <v>1822.336</v>
      </c>
      <c r="P45" s="446">
        <f t="shared" si="8"/>
        <v>2000</v>
      </c>
      <c r="Q45" s="446">
        <f>VLOOKUP(B45,'[1]Phụ lục 2'!$B$14:$P$93,14,0)</f>
        <v>2000</v>
      </c>
      <c r="R45" s="447"/>
      <c r="S45" s="447">
        <v>2000</v>
      </c>
      <c r="T45" s="447">
        <v>2000</v>
      </c>
      <c r="U45" s="447"/>
      <c r="V45" s="447">
        <f>+O45</f>
        <v>1822.336</v>
      </c>
      <c r="W45" s="447"/>
      <c r="X45" s="447"/>
      <c r="Y45" s="447"/>
      <c r="Z45" s="446">
        <f>IF((O45-M45-W45)&gt;0,O45-M45-W45,0)</f>
        <v>0</v>
      </c>
      <c r="AA45" s="445"/>
      <c r="AB45" s="372"/>
      <c r="AC45" s="435"/>
      <c r="AD45" s="372"/>
      <c r="AE45" s="372"/>
      <c r="AF45" s="372"/>
    </row>
    <row r="46" spans="1:32" s="441" customFormat="1" ht="14.25">
      <c r="A46" s="436" t="s">
        <v>23</v>
      </c>
      <c r="B46" s="461" t="s">
        <v>983</v>
      </c>
      <c r="C46" s="438"/>
      <c r="D46" s="438"/>
      <c r="E46" s="438"/>
      <c r="F46" s="439"/>
      <c r="G46" s="421"/>
      <c r="H46" s="455">
        <f>SUM(H47:H57)</f>
        <v>73400</v>
      </c>
      <c r="I46" s="455">
        <f t="shared" ref="I46:Z46" si="16">SUM(I47:I57)</f>
        <v>0</v>
      </c>
      <c r="J46" s="455">
        <f t="shared" si="16"/>
        <v>73400</v>
      </c>
      <c r="K46" s="455">
        <f t="shared" si="16"/>
        <v>0</v>
      </c>
      <c r="L46" s="455">
        <f t="shared" si="16"/>
        <v>62673.414000000004</v>
      </c>
      <c r="M46" s="455">
        <f t="shared" si="16"/>
        <v>0</v>
      </c>
      <c r="N46" s="455">
        <f t="shared" si="16"/>
        <v>0</v>
      </c>
      <c r="O46" s="455">
        <f t="shared" si="16"/>
        <v>18195.688000000002</v>
      </c>
      <c r="P46" s="455">
        <f t="shared" si="16"/>
        <v>73400</v>
      </c>
      <c r="Q46" s="455">
        <f t="shared" si="16"/>
        <v>73400</v>
      </c>
      <c r="R46" s="455">
        <f t="shared" si="16"/>
        <v>0</v>
      </c>
      <c r="S46" s="455">
        <f t="shared" si="16"/>
        <v>62673.414000000004</v>
      </c>
      <c r="T46" s="455">
        <f t="shared" si="16"/>
        <v>62673.414000000004</v>
      </c>
      <c r="U46" s="455">
        <f t="shared" si="16"/>
        <v>0</v>
      </c>
      <c r="V46" s="455">
        <f t="shared" si="16"/>
        <v>62551.143000000004</v>
      </c>
      <c r="W46" s="455">
        <f t="shared" si="16"/>
        <v>38700</v>
      </c>
      <c r="X46" s="455">
        <f t="shared" si="16"/>
        <v>0</v>
      </c>
      <c r="Y46" s="455">
        <f t="shared" si="16"/>
        <v>35700</v>
      </c>
      <c r="Z46" s="455">
        <f t="shared" si="16"/>
        <v>466.6880000000001</v>
      </c>
      <c r="AA46" s="439"/>
      <c r="AB46" s="441">
        <f>+P46-S46</f>
        <v>10726.585999999996</v>
      </c>
      <c r="AC46" s="435"/>
    </row>
    <row r="47" spans="1:32" s="372" customFormat="1" ht="45">
      <c r="A47" s="451">
        <v>1</v>
      </c>
      <c r="B47" s="460" t="s">
        <v>930</v>
      </c>
      <c r="C47" s="444" t="s">
        <v>37</v>
      </c>
      <c r="D47" s="444"/>
      <c r="E47" s="444">
        <v>2022</v>
      </c>
      <c r="F47" s="445" t="s">
        <v>1008</v>
      </c>
      <c r="G47" s="457" t="s">
        <v>34</v>
      </c>
      <c r="H47" s="447">
        <v>4000</v>
      </c>
      <c r="I47" s="447"/>
      <c r="J47" s="447">
        <v>4000</v>
      </c>
      <c r="K47" s="447"/>
      <c r="L47" s="447">
        <v>1196.271</v>
      </c>
      <c r="M47" s="447"/>
      <c r="N47" s="447"/>
      <c r="O47" s="447">
        <v>1074</v>
      </c>
      <c r="P47" s="446">
        <f t="shared" si="8"/>
        <v>4000</v>
      </c>
      <c r="Q47" s="446">
        <f>VLOOKUP(B47,'[1]Phụ lục 2'!$B$14:$P$93,14,0)</f>
        <v>4000</v>
      </c>
      <c r="R47" s="447"/>
      <c r="S47" s="447">
        <v>1196.271</v>
      </c>
      <c r="T47" s="447">
        <v>1196.271</v>
      </c>
      <c r="U47" s="447"/>
      <c r="V47" s="447">
        <f>+O47</f>
        <v>1074</v>
      </c>
      <c r="W47" s="462">
        <f>+SUM(X47:Y47)</f>
        <v>1500</v>
      </c>
      <c r="X47" s="447"/>
      <c r="Y47" s="447">
        <v>1500</v>
      </c>
      <c r="Z47" s="446">
        <f t="shared" ref="Z47:Z57" si="17">IF((O47-M47-W47)&gt;0,O47-M47-W47,0)</f>
        <v>0</v>
      </c>
      <c r="AA47" s="445"/>
      <c r="AC47" s="435"/>
    </row>
    <row r="48" spans="1:32" s="372" customFormat="1" ht="60">
      <c r="A48" s="451">
        <v>2</v>
      </c>
      <c r="B48" s="456" t="s">
        <v>998</v>
      </c>
      <c r="C48" s="444" t="s">
        <v>52</v>
      </c>
      <c r="D48" s="444" t="s">
        <v>895</v>
      </c>
      <c r="E48" s="444">
        <v>2022</v>
      </c>
      <c r="F48" s="459" t="s">
        <v>999</v>
      </c>
      <c r="G48" s="457" t="s">
        <v>34</v>
      </c>
      <c r="H48" s="447">
        <v>9000</v>
      </c>
      <c r="I48" s="447"/>
      <c r="J48" s="447">
        <v>9000</v>
      </c>
      <c r="K48" s="447"/>
      <c r="L48" s="447">
        <v>8727.8230000000003</v>
      </c>
      <c r="M48" s="447"/>
      <c r="N48" s="447"/>
      <c r="O48" s="447">
        <v>3091</v>
      </c>
      <c r="P48" s="446">
        <f t="shared" si="8"/>
        <v>9000</v>
      </c>
      <c r="Q48" s="446">
        <v>9000</v>
      </c>
      <c r="R48" s="447"/>
      <c r="S48" s="447">
        <v>8727.8230000000003</v>
      </c>
      <c r="T48" s="447">
        <v>8727.8230000000003</v>
      </c>
      <c r="U48" s="447"/>
      <c r="V48" s="447">
        <f t="shared" ref="V48:V55" si="18">+L48</f>
        <v>8727.8230000000003</v>
      </c>
      <c r="W48" s="447">
        <f t="shared" ref="W48:W53" si="19">SUM(X48:Y48)</f>
        <v>2700</v>
      </c>
      <c r="X48" s="447"/>
      <c r="Y48" s="447">
        <v>2700</v>
      </c>
      <c r="Z48" s="446">
        <f t="shared" si="17"/>
        <v>391</v>
      </c>
      <c r="AA48" s="445"/>
      <c r="AC48" s="435"/>
    </row>
    <row r="49" spans="1:261" s="372" customFormat="1" ht="45">
      <c r="A49" s="451">
        <v>3</v>
      </c>
      <c r="B49" s="456" t="s">
        <v>963</v>
      </c>
      <c r="C49" s="444" t="s">
        <v>834</v>
      </c>
      <c r="D49" s="444"/>
      <c r="E49" s="444">
        <v>2022</v>
      </c>
      <c r="F49" s="459" t="s">
        <v>1000</v>
      </c>
      <c r="G49" s="457" t="s">
        <v>34</v>
      </c>
      <c r="H49" s="447">
        <v>7500</v>
      </c>
      <c r="I49" s="447"/>
      <c r="J49" s="447">
        <v>7500</v>
      </c>
      <c r="K49" s="447"/>
      <c r="L49" s="447">
        <v>4478.88</v>
      </c>
      <c r="M49" s="447"/>
      <c r="N49" s="447"/>
      <c r="O49" s="447">
        <v>1449</v>
      </c>
      <c r="P49" s="446">
        <f t="shared" si="8"/>
        <v>7500</v>
      </c>
      <c r="Q49" s="446">
        <f>VLOOKUP(B49,'[1]Phụ lục 2'!$B$14:$P$93,14,0)</f>
        <v>7500</v>
      </c>
      <c r="R49" s="447"/>
      <c r="S49" s="447">
        <v>4478.88</v>
      </c>
      <c r="T49" s="447">
        <v>4478.88</v>
      </c>
      <c r="U49" s="447"/>
      <c r="V49" s="447">
        <f t="shared" si="18"/>
        <v>4478.88</v>
      </c>
      <c r="W49" s="447">
        <f t="shared" si="19"/>
        <v>5000</v>
      </c>
      <c r="X49" s="447"/>
      <c r="Y49" s="447">
        <v>5000</v>
      </c>
      <c r="Z49" s="446">
        <f t="shared" si="17"/>
        <v>0</v>
      </c>
      <c r="AA49" s="445"/>
      <c r="AC49" s="435"/>
    </row>
    <row r="50" spans="1:261" s="372" customFormat="1" ht="45">
      <c r="A50" s="451">
        <v>4</v>
      </c>
      <c r="B50" s="460" t="s">
        <v>964</v>
      </c>
      <c r="C50" s="444" t="s">
        <v>904</v>
      </c>
      <c r="D50" s="444" t="s">
        <v>905</v>
      </c>
      <c r="E50" s="444">
        <v>2022</v>
      </c>
      <c r="F50" s="459" t="s">
        <v>1001</v>
      </c>
      <c r="G50" s="457" t="s">
        <v>34</v>
      </c>
      <c r="H50" s="447">
        <v>8400</v>
      </c>
      <c r="I50" s="447"/>
      <c r="J50" s="447">
        <v>8400</v>
      </c>
      <c r="K50" s="447"/>
      <c r="L50" s="447">
        <v>6505.3789999999999</v>
      </c>
      <c r="M50" s="447"/>
      <c r="N50" s="447"/>
      <c r="O50" s="447">
        <v>2809</v>
      </c>
      <c r="P50" s="446">
        <f t="shared" si="8"/>
        <v>8400</v>
      </c>
      <c r="Q50" s="446">
        <f>VLOOKUP(B50,'[1]Phụ lục 2'!$B$14:$P$93,14,0)</f>
        <v>8400</v>
      </c>
      <c r="R50" s="447"/>
      <c r="S50" s="447">
        <v>6505.3789999999999</v>
      </c>
      <c r="T50" s="447">
        <v>6505.3789999999999</v>
      </c>
      <c r="U50" s="447"/>
      <c r="V50" s="447">
        <f t="shared" si="18"/>
        <v>6505.3789999999999</v>
      </c>
      <c r="W50" s="447">
        <f t="shared" si="19"/>
        <v>5000</v>
      </c>
      <c r="X50" s="447"/>
      <c r="Y50" s="447">
        <v>5000</v>
      </c>
      <c r="Z50" s="446">
        <f t="shared" si="17"/>
        <v>0</v>
      </c>
      <c r="AA50" s="445"/>
      <c r="AC50" s="435"/>
    </row>
    <row r="51" spans="1:261" s="372" customFormat="1" ht="45">
      <c r="A51" s="451">
        <v>5</v>
      </c>
      <c r="B51" s="460" t="s">
        <v>965</v>
      </c>
      <c r="C51" s="444" t="s">
        <v>44</v>
      </c>
      <c r="D51" s="444" t="s">
        <v>54</v>
      </c>
      <c r="E51" s="444">
        <v>2022</v>
      </c>
      <c r="F51" s="459" t="s">
        <v>1002</v>
      </c>
      <c r="G51" s="457" t="s">
        <v>34</v>
      </c>
      <c r="H51" s="447">
        <v>6000</v>
      </c>
      <c r="I51" s="447"/>
      <c r="J51" s="447">
        <v>6000</v>
      </c>
      <c r="K51" s="447"/>
      <c r="L51" s="447">
        <v>6203.1790000000001</v>
      </c>
      <c r="M51" s="447"/>
      <c r="N51" s="447"/>
      <c r="O51" s="447">
        <v>1661</v>
      </c>
      <c r="P51" s="446">
        <f t="shared" si="8"/>
        <v>6000</v>
      </c>
      <c r="Q51" s="446">
        <f>VLOOKUP(B51,'[1]Phụ lục 2'!$B$14:$P$93,14,0)</f>
        <v>6000</v>
      </c>
      <c r="R51" s="447"/>
      <c r="S51" s="447">
        <v>6203.1790000000001</v>
      </c>
      <c r="T51" s="447">
        <v>6203.1790000000001</v>
      </c>
      <c r="U51" s="447"/>
      <c r="V51" s="447">
        <f t="shared" si="18"/>
        <v>6203.1790000000001</v>
      </c>
      <c r="W51" s="447">
        <f t="shared" si="19"/>
        <v>4500</v>
      </c>
      <c r="X51" s="447"/>
      <c r="Y51" s="447">
        <v>4500</v>
      </c>
      <c r="Z51" s="446">
        <f t="shared" si="17"/>
        <v>0</v>
      </c>
      <c r="AA51" s="445"/>
      <c r="AC51" s="435"/>
    </row>
    <row r="52" spans="1:261" s="372" customFormat="1" ht="45">
      <c r="A52" s="451">
        <v>6</v>
      </c>
      <c r="B52" s="463" t="s">
        <v>966</v>
      </c>
      <c r="C52" s="444" t="s">
        <v>43</v>
      </c>
      <c r="D52" s="444" t="s">
        <v>900</v>
      </c>
      <c r="E52" s="444">
        <v>2022</v>
      </c>
      <c r="F52" s="445" t="s">
        <v>1003</v>
      </c>
      <c r="G52" s="457" t="s">
        <v>34</v>
      </c>
      <c r="H52" s="447">
        <v>8000</v>
      </c>
      <c r="I52" s="447"/>
      <c r="J52" s="447">
        <v>8000</v>
      </c>
      <c r="K52" s="447"/>
      <c r="L52" s="447">
        <v>6706.6959999999999</v>
      </c>
      <c r="M52" s="447"/>
      <c r="N52" s="447"/>
      <c r="O52" s="447">
        <v>326</v>
      </c>
      <c r="P52" s="446">
        <f t="shared" si="8"/>
        <v>8000</v>
      </c>
      <c r="Q52" s="446">
        <f>VLOOKUP(B52,'[1]Phụ lục 2'!$B$14:$P$93,14,0)</f>
        <v>8000</v>
      </c>
      <c r="R52" s="447"/>
      <c r="S52" s="447">
        <v>6706.6959999999999</v>
      </c>
      <c r="T52" s="447">
        <v>6706.6959999999999</v>
      </c>
      <c r="U52" s="447"/>
      <c r="V52" s="447">
        <f t="shared" si="18"/>
        <v>6706.6959999999999</v>
      </c>
      <c r="W52" s="447">
        <f t="shared" si="19"/>
        <v>2500</v>
      </c>
      <c r="X52" s="447"/>
      <c r="Y52" s="447">
        <v>2500</v>
      </c>
      <c r="Z52" s="446">
        <f t="shared" si="17"/>
        <v>0</v>
      </c>
      <c r="AA52" s="445"/>
      <c r="AC52" s="435"/>
    </row>
    <row r="53" spans="1:261" s="372" customFormat="1" ht="45">
      <c r="A53" s="451">
        <v>7</v>
      </c>
      <c r="B53" s="460" t="s">
        <v>967</v>
      </c>
      <c r="C53" s="444" t="s">
        <v>41</v>
      </c>
      <c r="D53" s="444" t="s">
        <v>849</v>
      </c>
      <c r="E53" s="444">
        <v>2022</v>
      </c>
      <c r="F53" s="445" t="s">
        <v>1004</v>
      </c>
      <c r="G53" s="457" t="s">
        <v>34</v>
      </c>
      <c r="H53" s="447">
        <f>SUM(I53:K53)</f>
        <v>4500</v>
      </c>
      <c r="I53" s="447"/>
      <c r="J53" s="447">
        <v>4500</v>
      </c>
      <c r="K53" s="447"/>
      <c r="L53" s="420">
        <v>4178.1909999999998</v>
      </c>
      <c r="M53" s="447"/>
      <c r="N53" s="447"/>
      <c r="O53" s="447">
        <v>1330</v>
      </c>
      <c r="P53" s="446">
        <f t="shared" si="8"/>
        <v>4500</v>
      </c>
      <c r="Q53" s="446">
        <f>VLOOKUP(B53,'[1]Phụ lục 2'!$B$14:$P$93,14,0)</f>
        <v>4500</v>
      </c>
      <c r="R53" s="447"/>
      <c r="S53" s="462">
        <v>4178.1909999999998</v>
      </c>
      <c r="T53" s="447">
        <v>4178.1909999999998</v>
      </c>
      <c r="U53" s="447"/>
      <c r="V53" s="447">
        <f t="shared" si="18"/>
        <v>4178.1909999999998</v>
      </c>
      <c r="W53" s="447">
        <f t="shared" si="19"/>
        <v>3000</v>
      </c>
      <c r="X53" s="447"/>
      <c r="Y53" s="447">
        <v>3000</v>
      </c>
      <c r="Z53" s="446">
        <f t="shared" si="17"/>
        <v>0</v>
      </c>
      <c r="AA53" s="445"/>
      <c r="AC53" s="435"/>
    </row>
    <row r="54" spans="1:261" s="372" customFormat="1" ht="45">
      <c r="A54" s="451">
        <v>8</v>
      </c>
      <c r="B54" s="460" t="s">
        <v>968</v>
      </c>
      <c r="C54" s="444" t="s">
        <v>825</v>
      </c>
      <c r="D54" s="444"/>
      <c r="E54" s="444">
        <v>2022</v>
      </c>
      <c r="F54" s="445" t="s">
        <v>1005</v>
      </c>
      <c r="G54" s="457" t="s">
        <v>34</v>
      </c>
      <c r="H54" s="447">
        <v>10500</v>
      </c>
      <c r="I54" s="447"/>
      <c r="J54" s="447">
        <v>10500</v>
      </c>
      <c r="K54" s="447"/>
      <c r="L54" s="447">
        <v>8355.6550000000007</v>
      </c>
      <c r="M54" s="447"/>
      <c r="N54" s="447"/>
      <c r="O54" s="447">
        <v>1774</v>
      </c>
      <c r="P54" s="446">
        <f t="shared" si="8"/>
        <v>10500</v>
      </c>
      <c r="Q54" s="446">
        <f>VLOOKUP(B54,'[1]Phụ lục 2'!$B$14:$P$93,14,0)</f>
        <v>10500</v>
      </c>
      <c r="R54" s="447"/>
      <c r="S54" s="462">
        <v>8355.6550000000007</v>
      </c>
      <c r="T54" s="462">
        <v>8355.6550000000007</v>
      </c>
      <c r="U54" s="447"/>
      <c r="V54" s="447">
        <f t="shared" si="18"/>
        <v>8355.6550000000007</v>
      </c>
      <c r="W54" s="447">
        <v>5000</v>
      </c>
      <c r="X54" s="447"/>
      <c r="Y54" s="447">
        <v>2000</v>
      </c>
      <c r="Z54" s="446">
        <f t="shared" si="17"/>
        <v>0</v>
      </c>
      <c r="AA54" s="445"/>
      <c r="AC54" s="435"/>
    </row>
    <row r="55" spans="1:261" s="372" customFormat="1" ht="45">
      <c r="A55" s="451">
        <v>9</v>
      </c>
      <c r="B55" s="460" t="s">
        <v>970</v>
      </c>
      <c r="C55" s="444" t="s">
        <v>947</v>
      </c>
      <c r="D55" s="444" t="s">
        <v>948</v>
      </c>
      <c r="E55" s="444">
        <v>2022</v>
      </c>
      <c r="F55" s="445" t="s">
        <v>1006</v>
      </c>
      <c r="G55" s="457" t="s">
        <v>34</v>
      </c>
      <c r="H55" s="447">
        <f>SUM(I55:K55)</f>
        <v>7000</v>
      </c>
      <c r="I55" s="447"/>
      <c r="J55" s="447">
        <v>7000</v>
      </c>
      <c r="K55" s="447"/>
      <c r="L55" s="447">
        <v>7612.8919999999998</v>
      </c>
      <c r="M55" s="447"/>
      <c r="N55" s="447"/>
      <c r="O55" s="447">
        <v>1688</v>
      </c>
      <c r="P55" s="446">
        <f t="shared" si="8"/>
        <v>7000</v>
      </c>
      <c r="Q55" s="446">
        <f>VLOOKUP(B55,'[1]Phụ lục 2'!$B$14:$P$93,14,0)</f>
        <v>7000</v>
      </c>
      <c r="R55" s="447"/>
      <c r="S55" s="462">
        <v>7612.8919999999998</v>
      </c>
      <c r="T55" s="447">
        <v>7612.8919999999998</v>
      </c>
      <c r="U55" s="447"/>
      <c r="V55" s="447">
        <f t="shared" si="18"/>
        <v>7612.8919999999998</v>
      </c>
      <c r="W55" s="447">
        <v>5000</v>
      </c>
      <c r="X55" s="447"/>
      <c r="Y55" s="447">
        <v>5000</v>
      </c>
      <c r="Z55" s="446">
        <f t="shared" si="17"/>
        <v>0</v>
      </c>
      <c r="AA55" s="445"/>
      <c r="AC55" s="435"/>
    </row>
    <row r="56" spans="1:261" s="372" customFormat="1" ht="30">
      <c r="A56" s="451">
        <v>10</v>
      </c>
      <c r="B56" s="460" t="s">
        <v>979</v>
      </c>
      <c r="C56" s="444" t="s">
        <v>980</v>
      </c>
      <c r="D56" s="444" t="s">
        <v>896</v>
      </c>
      <c r="E56" s="444">
        <v>2022</v>
      </c>
      <c r="F56" s="459"/>
      <c r="G56" s="457" t="s">
        <v>34</v>
      </c>
      <c r="H56" s="447">
        <v>1500</v>
      </c>
      <c r="I56" s="447"/>
      <c r="J56" s="447">
        <v>1500</v>
      </c>
      <c r="K56" s="447"/>
      <c r="L56" s="447">
        <v>1075.6880000000001</v>
      </c>
      <c r="M56" s="447"/>
      <c r="N56" s="447"/>
      <c r="O56" s="447">
        <v>1075.6880000000001</v>
      </c>
      <c r="P56" s="446">
        <f t="shared" si="8"/>
        <v>1500</v>
      </c>
      <c r="Q56" s="446">
        <f>VLOOKUP(B56,'[1]Phụ lục 2'!$B$14:$P$93,14,0)</f>
        <v>1500</v>
      </c>
      <c r="R56" s="447"/>
      <c r="S56" s="447">
        <v>1075.6880000000001</v>
      </c>
      <c r="T56" s="447">
        <v>1075.6880000000001</v>
      </c>
      <c r="U56" s="447"/>
      <c r="V56" s="447">
        <f>+O56</f>
        <v>1075.6880000000001</v>
      </c>
      <c r="W56" s="447">
        <f>SUM(X56:Y56)</f>
        <v>1000</v>
      </c>
      <c r="X56" s="447"/>
      <c r="Y56" s="447">
        <v>1000</v>
      </c>
      <c r="Z56" s="446">
        <f t="shared" si="17"/>
        <v>75.688000000000102</v>
      </c>
      <c r="AA56" s="445"/>
    </row>
    <row r="57" spans="1:261" s="372" customFormat="1" ht="45">
      <c r="A57" s="451">
        <v>11</v>
      </c>
      <c r="B57" s="456" t="s">
        <v>955</v>
      </c>
      <c r="C57" s="459" t="s">
        <v>45</v>
      </c>
      <c r="D57" s="459" t="s">
        <v>956</v>
      </c>
      <c r="E57" s="444">
        <v>2022</v>
      </c>
      <c r="F57" s="445" t="s">
        <v>1007</v>
      </c>
      <c r="G57" s="457" t="s">
        <v>34</v>
      </c>
      <c r="H57" s="447">
        <f>SUM(I57:K57)</f>
        <v>7000</v>
      </c>
      <c r="I57" s="447"/>
      <c r="J57" s="464">
        <v>7000</v>
      </c>
      <c r="K57" s="447"/>
      <c r="L57" s="447">
        <v>7632.76</v>
      </c>
      <c r="M57" s="447"/>
      <c r="N57" s="447"/>
      <c r="O57" s="447">
        <v>1918</v>
      </c>
      <c r="P57" s="446">
        <f t="shared" si="8"/>
        <v>7000</v>
      </c>
      <c r="Q57" s="446">
        <f>VLOOKUP(B57,'[1]Phụ lục 2'!$B$14:$P$93,14,0)</f>
        <v>7000</v>
      </c>
      <c r="R57" s="447"/>
      <c r="S57" s="462">
        <v>7632.76</v>
      </c>
      <c r="T57" s="464">
        <v>7632.76</v>
      </c>
      <c r="U57" s="447"/>
      <c r="V57" s="447">
        <f>+L57</f>
        <v>7632.76</v>
      </c>
      <c r="W57" s="447">
        <f>SUM(X57:Y57)</f>
        <v>3500</v>
      </c>
      <c r="X57" s="464"/>
      <c r="Y57" s="447">
        <v>3500</v>
      </c>
      <c r="Z57" s="446">
        <f t="shared" si="17"/>
        <v>0</v>
      </c>
      <c r="AA57" s="445"/>
      <c r="AC57" s="435"/>
    </row>
    <row r="58" spans="1:261" s="441" customFormat="1" ht="14.25">
      <c r="A58" s="436" t="s">
        <v>98</v>
      </c>
      <c r="B58" s="461" t="s">
        <v>990</v>
      </c>
      <c r="C58" s="438"/>
      <c r="D58" s="438"/>
      <c r="E58" s="438"/>
      <c r="F58" s="439"/>
      <c r="G58" s="421"/>
      <c r="H58" s="455">
        <f t="shared" ref="H58:Z58" si="20">SUM(H59:H66)</f>
        <v>52070</v>
      </c>
      <c r="I58" s="455">
        <f t="shared" si="20"/>
        <v>0</v>
      </c>
      <c r="J58" s="455">
        <f t="shared" si="20"/>
        <v>52070</v>
      </c>
      <c r="K58" s="455">
        <f t="shared" si="20"/>
        <v>0</v>
      </c>
      <c r="L58" s="455">
        <f t="shared" si="20"/>
        <v>54100</v>
      </c>
      <c r="M58" s="455">
        <f t="shared" si="20"/>
        <v>0</v>
      </c>
      <c r="N58" s="455">
        <f t="shared" si="20"/>
        <v>0</v>
      </c>
      <c r="O58" s="455">
        <f t="shared" si="20"/>
        <v>0</v>
      </c>
      <c r="P58" s="455">
        <f t="shared" si="20"/>
        <v>53200</v>
      </c>
      <c r="Q58" s="455">
        <f t="shared" si="20"/>
        <v>53200</v>
      </c>
      <c r="R58" s="455">
        <f t="shared" si="20"/>
        <v>0</v>
      </c>
      <c r="S58" s="455">
        <f t="shared" si="20"/>
        <v>53070</v>
      </c>
      <c r="T58" s="455">
        <f t="shared" si="20"/>
        <v>53070</v>
      </c>
      <c r="U58" s="455">
        <f t="shared" si="20"/>
        <v>0</v>
      </c>
      <c r="V58" s="455">
        <f t="shared" si="20"/>
        <v>55230</v>
      </c>
      <c r="W58" s="455">
        <f t="shared" si="20"/>
        <v>1000</v>
      </c>
      <c r="X58" s="455">
        <f t="shared" si="20"/>
        <v>0</v>
      </c>
      <c r="Y58" s="455">
        <f t="shared" si="20"/>
        <v>1000</v>
      </c>
      <c r="Z58" s="455">
        <f t="shared" si="20"/>
        <v>0</v>
      </c>
      <c r="AA58" s="439"/>
      <c r="AC58" s="435"/>
    </row>
    <row r="59" spans="1:261" s="372" customFormat="1" ht="45">
      <c r="A59" s="451">
        <v>1</v>
      </c>
      <c r="B59" s="456" t="s">
        <v>962</v>
      </c>
      <c r="C59" s="444" t="s">
        <v>42</v>
      </c>
      <c r="D59" s="444" t="s">
        <v>851</v>
      </c>
      <c r="E59" s="444">
        <v>2022</v>
      </c>
      <c r="F59" s="445"/>
      <c r="G59" s="457" t="s">
        <v>36</v>
      </c>
      <c r="H59" s="447">
        <v>6000</v>
      </c>
      <c r="I59" s="447"/>
      <c r="J59" s="447">
        <v>6000</v>
      </c>
      <c r="K59" s="447"/>
      <c r="L59" s="447">
        <v>6000</v>
      </c>
      <c r="M59" s="447"/>
      <c r="N59" s="447"/>
      <c r="O59" s="447"/>
      <c r="P59" s="446">
        <f t="shared" si="8"/>
        <v>6500</v>
      </c>
      <c r="Q59" s="446">
        <f>VLOOKUP(B59,'[1]Phụ lục 2'!$B$14:$P$93,14,0)</f>
        <v>6500</v>
      </c>
      <c r="R59" s="447"/>
      <c r="S59" s="447">
        <v>6000</v>
      </c>
      <c r="T59" s="447">
        <v>6000</v>
      </c>
      <c r="U59" s="447"/>
      <c r="V59" s="447">
        <v>6500</v>
      </c>
      <c r="W59" s="447">
        <f>SUM(X59:Y59)</f>
        <v>0</v>
      </c>
      <c r="X59" s="447"/>
      <c r="Y59" s="447"/>
      <c r="Z59" s="446">
        <f t="shared" ref="Z59:Z66" si="21">IF((O59-M59-W59)&gt;0,O59-M59-W59,0)</f>
        <v>0</v>
      </c>
      <c r="AA59" s="445"/>
      <c r="AC59" s="435"/>
    </row>
    <row r="60" spans="1:261" s="372" customFormat="1" ht="30">
      <c r="A60" s="451">
        <v>2</v>
      </c>
      <c r="B60" s="456" t="s">
        <v>1011</v>
      </c>
      <c r="C60" s="444" t="s">
        <v>39</v>
      </c>
      <c r="D60" s="444"/>
      <c r="E60" s="444">
        <v>2023</v>
      </c>
      <c r="F60" s="445"/>
      <c r="G60" s="457" t="s">
        <v>34</v>
      </c>
      <c r="H60" s="447">
        <v>10500</v>
      </c>
      <c r="I60" s="447"/>
      <c r="J60" s="447">
        <v>10500</v>
      </c>
      <c r="K60" s="447"/>
      <c r="L60" s="447">
        <v>9530</v>
      </c>
      <c r="M60" s="447"/>
      <c r="N60" s="447"/>
      <c r="O60" s="447"/>
      <c r="P60" s="446">
        <v>10500</v>
      </c>
      <c r="Q60" s="446">
        <v>10500</v>
      </c>
      <c r="R60" s="447"/>
      <c r="S60" s="447">
        <v>11000</v>
      </c>
      <c r="T60" s="447">
        <v>11000</v>
      </c>
      <c r="U60" s="447"/>
      <c r="V60" s="447">
        <v>9530</v>
      </c>
      <c r="W60" s="447">
        <f>SUM(X60:Y60)</f>
        <v>0</v>
      </c>
      <c r="X60" s="447"/>
      <c r="Y60" s="447"/>
      <c r="Z60" s="446">
        <f t="shared" si="21"/>
        <v>0</v>
      </c>
      <c r="AA60" s="445"/>
      <c r="AC60" s="435"/>
    </row>
    <row r="61" spans="1:261" s="372" customFormat="1" ht="30">
      <c r="A61" s="451">
        <v>3</v>
      </c>
      <c r="B61" s="460" t="s">
        <v>1110</v>
      </c>
      <c r="C61" s="444" t="s">
        <v>35</v>
      </c>
      <c r="D61" s="444"/>
      <c r="E61" s="444">
        <v>2024</v>
      </c>
      <c r="F61" s="445"/>
      <c r="G61" s="457" t="s">
        <v>34</v>
      </c>
      <c r="H61" s="447">
        <v>12000</v>
      </c>
      <c r="I61" s="447"/>
      <c r="J61" s="447">
        <v>12000</v>
      </c>
      <c r="K61" s="447"/>
      <c r="L61" s="447">
        <v>15000</v>
      </c>
      <c r="M61" s="447"/>
      <c r="N61" s="447"/>
      <c r="O61" s="447"/>
      <c r="P61" s="446">
        <v>12000</v>
      </c>
      <c r="Q61" s="446">
        <v>12000</v>
      </c>
      <c r="R61" s="447"/>
      <c r="S61" s="447">
        <v>15000</v>
      </c>
      <c r="T61" s="447">
        <v>15000</v>
      </c>
      <c r="U61" s="447"/>
      <c r="V61" s="447">
        <v>15000</v>
      </c>
      <c r="W61" s="447">
        <f>SUM(X61:Y61)</f>
        <v>0</v>
      </c>
      <c r="X61" s="447"/>
      <c r="Y61" s="447"/>
      <c r="Z61" s="446">
        <f t="shared" si="21"/>
        <v>0</v>
      </c>
      <c r="AA61" s="445"/>
      <c r="AC61" s="435"/>
    </row>
    <row r="62" spans="1:261" s="372" customFormat="1" ht="30">
      <c r="A62" s="451">
        <v>4</v>
      </c>
      <c r="B62" s="456" t="s">
        <v>953</v>
      </c>
      <c r="C62" s="459" t="s">
        <v>42</v>
      </c>
      <c r="D62" s="459" t="s">
        <v>954</v>
      </c>
      <c r="E62" s="444">
        <v>2023</v>
      </c>
      <c r="F62" s="445"/>
      <c r="G62" s="457" t="s">
        <v>34</v>
      </c>
      <c r="H62" s="447">
        <v>6000</v>
      </c>
      <c r="I62" s="447"/>
      <c r="J62" s="464">
        <v>6000</v>
      </c>
      <c r="K62" s="447"/>
      <c r="L62" s="464">
        <v>6000</v>
      </c>
      <c r="M62" s="447"/>
      <c r="N62" s="447"/>
      <c r="O62" s="447"/>
      <c r="P62" s="446">
        <f t="shared" si="8"/>
        <v>6000</v>
      </c>
      <c r="Q62" s="446">
        <f>VLOOKUP(B62,'[1]Phụ lục 2'!$B$14:$P$93,14,0)</f>
        <v>6000</v>
      </c>
      <c r="R62" s="447"/>
      <c r="S62" s="464">
        <v>6000</v>
      </c>
      <c r="T62" s="464">
        <v>6000</v>
      </c>
      <c r="U62" s="447"/>
      <c r="V62" s="464">
        <v>6000</v>
      </c>
      <c r="W62" s="447">
        <f>SUM(X62:Y62)</f>
        <v>0</v>
      </c>
      <c r="X62" s="464"/>
      <c r="Y62" s="447"/>
      <c r="Z62" s="446">
        <f t="shared" si="21"/>
        <v>0</v>
      </c>
      <c r="AA62" s="445"/>
      <c r="AC62" s="435"/>
      <c r="AG62" s="458"/>
      <c r="AH62" s="458"/>
      <c r="AI62" s="458"/>
      <c r="AJ62" s="458"/>
      <c r="AK62" s="458"/>
      <c r="AL62" s="458"/>
      <c r="AM62" s="458"/>
      <c r="AN62" s="458"/>
      <c r="AO62" s="458"/>
      <c r="AP62" s="458"/>
      <c r="AQ62" s="458"/>
      <c r="AR62" s="458"/>
      <c r="AS62" s="458"/>
      <c r="AT62" s="458"/>
      <c r="AU62" s="458"/>
      <c r="AV62" s="458"/>
      <c r="AW62" s="458"/>
      <c r="AX62" s="458"/>
      <c r="AY62" s="458"/>
      <c r="AZ62" s="458"/>
      <c r="BA62" s="458"/>
      <c r="BB62" s="458"/>
      <c r="BC62" s="458"/>
      <c r="BD62" s="458"/>
      <c r="BE62" s="458"/>
      <c r="BF62" s="458"/>
      <c r="BG62" s="458"/>
      <c r="BH62" s="458"/>
      <c r="BI62" s="458"/>
      <c r="BJ62" s="458"/>
      <c r="BK62" s="458"/>
      <c r="BL62" s="458"/>
      <c r="BM62" s="458"/>
      <c r="BN62" s="458"/>
      <c r="BO62" s="458"/>
      <c r="BP62" s="458"/>
      <c r="BQ62" s="458"/>
      <c r="BR62" s="458"/>
      <c r="BS62" s="458"/>
      <c r="BT62" s="458"/>
      <c r="BU62" s="458"/>
      <c r="BV62" s="458"/>
      <c r="BW62" s="458"/>
      <c r="BX62" s="458"/>
      <c r="BY62" s="458"/>
      <c r="BZ62" s="458"/>
      <c r="CA62" s="458"/>
      <c r="CB62" s="458"/>
      <c r="CC62" s="458"/>
      <c r="CD62" s="458"/>
      <c r="CE62" s="458"/>
      <c r="CF62" s="458"/>
      <c r="CG62" s="458"/>
      <c r="CH62" s="458"/>
      <c r="CI62" s="458"/>
      <c r="CJ62" s="458"/>
      <c r="CK62" s="458"/>
      <c r="CL62" s="458"/>
      <c r="CM62" s="458"/>
      <c r="CN62" s="458"/>
      <c r="CO62" s="458"/>
      <c r="CP62" s="458"/>
      <c r="CQ62" s="458"/>
      <c r="CR62" s="458"/>
      <c r="CS62" s="458"/>
      <c r="CT62" s="458"/>
      <c r="CU62" s="458"/>
      <c r="CV62" s="458"/>
      <c r="CW62" s="458"/>
      <c r="CX62" s="458"/>
      <c r="CY62" s="458"/>
      <c r="CZ62" s="458"/>
      <c r="DA62" s="458"/>
      <c r="DB62" s="458"/>
      <c r="DC62" s="458"/>
      <c r="DD62" s="458"/>
      <c r="DE62" s="458"/>
      <c r="DF62" s="458"/>
      <c r="DG62" s="458"/>
      <c r="DH62" s="458"/>
      <c r="DI62" s="458"/>
      <c r="DJ62" s="458"/>
      <c r="DK62" s="458"/>
      <c r="DL62" s="458"/>
      <c r="DM62" s="458"/>
      <c r="DN62" s="458"/>
      <c r="DO62" s="458"/>
      <c r="DP62" s="458"/>
      <c r="DQ62" s="458"/>
      <c r="DR62" s="458"/>
      <c r="DS62" s="458"/>
      <c r="DT62" s="458"/>
      <c r="DU62" s="458"/>
      <c r="DV62" s="458"/>
      <c r="DW62" s="458"/>
      <c r="DX62" s="458"/>
      <c r="DY62" s="458"/>
      <c r="DZ62" s="458"/>
      <c r="EA62" s="458"/>
      <c r="EB62" s="458"/>
      <c r="EC62" s="458"/>
      <c r="ED62" s="458"/>
      <c r="EE62" s="458"/>
      <c r="EF62" s="458"/>
      <c r="EG62" s="458"/>
      <c r="EH62" s="458"/>
      <c r="EI62" s="458"/>
      <c r="EJ62" s="458"/>
      <c r="EK62" s="458"/>
      <c r="EL62" s="458"/>
      <c r="EM62" s="458"/>
      <c r="EN62" s="458"/>
      <c r="EO62" s="458"/>
      <c r="EP62" s="458"/>
      <c r="EQ62" s="458"/>
      <c r="ER62" s="458"/>
      <c r="ES62" s="458"/>
      <c r="ET62" s="458"/>
      <c r="EU62" s="458"/>
      <c r="EV62" s="458"/>
      <c r="EW62" s="458"/>
      <c r="EX62" s="458"/>
      <c r="EY62" s="458"/>
      <c r="EZ62" s="458"/>
      <c r="FA62" s="458"/>
      <c r="FB62" s="458"/>
      <c r="FC62" s="458"/>
      <c r="FD62" s="458"/>
      <c r="FE62" s="458"/>
      <c r="FF62" s="458"/>
      <c r="FG62" s="458"/>
      <c r="FH62" s="458"/>
      <c r="FI62" s="458"/>
      <c r="FJ62" s="458"/>
      <c r="FK62" s="458"/>
      <c r="FL62" s="458"/>
      <c r="FM62" s="458"/>
      <c r="FN62" s="458"/>
      <c r="FO62" s="458"/>
      <c r="FP62" s="458"/>
      <c r="FQ62" s="458"/>
      <c r="FR62" s="458"/>
      <c r="FS62" s="458"/>
      <c r="FT62" s="458"/>
      <c r="FU62" s="458"/>
      <c r="FV62" s="458"/>
      <c r="FW62" s="458"/>
      <c r="FX62" s="458"/>
      <c r="FY62" s="458"/>
      <c r="FZ62" s="458"/>
      <c r="GA62" s="458"/>
      <c r="GB62" s="458"/>
      <c r="GC62" s="458"/>
      <c r="GD62" s="458"/>
      <c r="GE62" s="458"/>
      <c r="GF62" s="458"/>
      <c r="GG62" s="458"/>
      <c r="GH62" s="458"/>
      <c r="GI62" s="458"/>
      <c r="GJ62" s="458"/>
      <c r="GK62" s="458"/>
      <c r="GL62" s="458"/>
      <c r="GM62" s="458"/>
      <c r="GN62" s="458"/>
      <c r="GO62" s="458"/>
      <c r="GP62" s="458"/>
      <c r="GQ62" s="458"/>
      <c r="GR62" s="458"/>
      <c r="GS62" s="458"/>
      <c r="GT62" s="458"/>
      <c r="GU62" s="458"/>
      <c r="GV62" s="458"/>
      <c r="GW62" s="458"/>
      <c r="GX62" s="458"/>
      <c r="GY62" s="458"/>
      <c r="GZ62" s="458"/>
      <c r="HA62" s="458"/>
      <c r="HB62" s="458"/>
      <c r="HC62" s="458"/>
      <c r="HD62" s="458"/>
      <c r="HE62" s="458"/>
      <c r="HF62" s="458"/>
      <c r="HG62" s="458"/>
      <c r="HH62" s="458"/>
      <c r="HI62" s="458"/>
      <c r="HJ62" s="458"/>
      <c r="HK62" s="458"/>
      <c r="HL62" s="458"/>
      <c r="HM62" s="458"/>
      <c r="HN62" s="458"/>
      <c r="HO62" s="458"/>
      <c r="HP62" s="458"/>
      <c r="HQ62" s="458"/>
      <c r="HR62" s="458"/>
      <c r="HS62" s="458"/>
      <c r="HT62" s="458"/>
      <c r="HU62" s="458"/>
      <c r="HV62" s="458"/>
      <c r="HW62" s="458"/>
      <c r="HX62" s="458"/>
      <c r="HY62" s="458"/>
      <c r="HZ62" s="458"/>
      <c r="IA62" s="458"/>
      <c r="IB62" s="458"/>
      <c r="IC62" s="458"/>
      <c r="ID62" s="458"/>
      <c r="IE62" s="458"/>
      <c r="IF62" s="458"/>
      <c r="IG62" s="458"/>
      <c r="IH62" s="458"/>
      <c r="II62" s="458"/>
      <c r="IJ62" s="458"/>
      <c r="IK62" s="458"/>
      <c r="IL62" s="458"/>
      <c r="IM62" s="458"/>
      <c r="IN62" s="458"/>
      <c r="IO62" s="458"/>
      <c r="IP62" s="458"/>
      <c r="IQ62" s="458"/>
      <c r="IR62" s="458"/>
      <c r="IS62" s="458"/>
      <c r="IT62" s="458"/>
      <c r="IU62" s="458"/>
      <c r="IV62" s="458"/>
      <c r="IW62" s="458"/>
      <c r="IX62" s="458"/>
      <c r="IY62" s="458"/>
      <c r="IZ62" s="458"/>
      <c r="JA62" s="458"/>
    </row>
    <row r="63" spans="1:261" s="372" customFormat="1" ht="30">
      <c r="A63" s="451">
        <v>5</v>
      </c>
      <c r="B63" s="456" t="s">
        <v>946</v>
      </c>
      <c r="C63" s="444" t="s">
        <v>52</v>
      </c>
      <c r="D63" s="444" t="s">
        <v>48</v>
      </c>
      <c r="E63" s="444">
        <v>2025</v>
      </c>
      <c r="F63" s="445"/>
      <c r="G63" s="457" t="s">
        <v>34</v>
      </c>
      <c r="H63" s="447">
        <v>7200</v>
      </c>
      <c r="I63" s="447"/>
      <c r="J63" s="447">
        <v>7200</v>
      </c>
      <c r="K63" s="447"/>
      <c r="L63" s="447">
        <v>7200</v>
      </c>
      <c r="M63" s="447"/>
      <c r="N63" s="447"/>
      <c r="O63" s="447"/>
      <c r="P63" s="446">
        <f t="shared" si="8"/>
        <v>7200</v>
      </c>
      <c r="Q63" s="446">
        <f>VLOOKUP(B63,'[1]Phụ lục 2'!$B$14:$P$93,14,0)</f>
        <v>7200</v>
      </c>
      <c r="R63" s="447"/>
      <c r="S63" s="447">
        <v>7200</v>
      </c>
      <c r="T63" s="447">
        <v>7200</v>
      </c>
      <c r="U63" s="447"/>
      <c r="V63" s="447">
        <v>7200</v>
      </c>
      <c r="W63" s="447"/>
      <c r="X63" s="447"/>
      <c r="Y63" s="447"/>
      <c r="Z63" s="446">
        <f t="shared" si="21"/>
        <v>0</v>
      </c>
      <c r="AA63" s="445"/>
      <c r="AC63" s="435"/>
    </row>
    <row r="64" spans="1:261" s="372" customFormat="1" ht="30">
      <c r="A64" s="451">
        <v>6</v>
      </c>
      <c r="B64" s="456" t="s">
        <v>1010</v>
      </c>
      <c r="C64" s="459" t="s">
        <v>41</v>
      </c>
      <c r="D64" s="459" t="s">
        <v>952</v>
      </c>
      <c r="E64" s="444">
        <v>2023</v>
      </c>
      <c r="F64" s="445"/>
      <c r="G64" s="457" t="s">
        <v>34</v>
      </c>
      <c r="H64" s="447">
        <v>6000</v>
      </c>
      <c r="I64" s="447"/>
      <c r="J64" s="464">
        <v>6000</v>
      </c>
      <c r="K64" s="447"/>
      <c r="L64" s="464">
        <v>6000</v>
      </c>
      <c r="M64" s="447"/>
      <c r="N64" s="447"/>
      <c r="O64" s="447"/>
      <c r="P64" s="446">
        <v>5000</v>
      </c>
      <c r="Q64" s="446">
        <v>5000</v>
      </c>
      <c r="R64" s="447"/>
      <c r="S64" s="462">
        <v>3500</v>
      </c>
      <c r="T64" s="464">
        <v>3500</v>
      </c>
      <c r="U64" s="447"/>
      <c r="V64" s="464">
        <v>5000</v>
      </c>
      <c r="W64" s="462"/>
      <c r="X64" s="464"/>
      <c r="Y64" s="447"/>
      <c r="Z64" s="446">
        <f t="shared" si="21"/>
        <v>0</v>
      </c>
      <c r="AA64" s="445"/>
      <c r="AC64" s="435"/>
    </row>
    <row r="65" spans="1:32" s="458" customFormat="1" ht="30">
      <c r="A65" s="451">
        <v>7</v>
      </c>
      <c r="B65" s="460" t="s">
        <v>969</v>
      </c>
      <c r="C65" s="444" t="s">
        <v>37</v>
      </c>
      <c r="D65" s="444" t="s">
        <v>902</v>
      </c>
      <c r="E65" s="444" t="s">
        <v>1015</v>
      </c>
      <c r="F65" s="445"/>
      <c r="G65" s="457" t="s">
        <v>34</v>
      </c>
      <c r="H65" s="447">
        <v>2000</v>
      </c>
      <c r="I65" s="447"/>
      <c r="J65" s="447">
        <v>2000</v>
      </c>
      <c r="K65" s="447"/>
      <c r="L65" s="447">
        <v>2000</v>
      </c>
      <c r="M65" s="447"/>
      <c r="N65" s="447"/>
      <c r="O65" s="447"/>
      <c r="P65" s="446">
        <f t="shared" si="8"/>
        <v>2000</v>
      </c>
      <c r="Q65" s="446">
        <f>VLOOKUP(B65,'[1]Phụ lục 2'!$B$14:$P$93,14,0)</f>
        <v>2000</v>
      </c>
      <c r="R65" s="447"/>
      <c r="S65" s="447">
        <v>2000</v>
      </c>
      <c r="T65" s="447">
        <v>2000</v>
      </c>
      <c r="U65" s="447"/>
      <c r="V65" s="447">
        <v>2000</v>
      </c>
      <c r="W65" s="447">
        <v>1000</v>
      </c>
      <c r="X65" s="447"/>
      <c r="Y65" s="447">
        <v>1000</v>
      </c>
      <c r="Z65" s="446">
        <f t="shared" si="21"/>
        <v>0</v>
      </c>
      <c r="AA65" s="445"/>
      <c r="AB65" s="372"/>
      <c r="AC65" s="435"/>
      <c r="AD65" s="372"/>
      <c r="AE65" s="372"/>
      <c r="AF65" s="372"/>
    </row>
    <row r="66" spans="1:32" s="458" customFormat="1" ht="45">
      <c r="A66" s="451">
        <v>8</v>
      </c>
      <c r="B66" s="460" t="s">
        <v>1012</v>
      </c>
      <c r="C66" s="444" t="s">
        <v>327</v>
      </c>
      <c r="D66" s="444" t="s">
        <v>926</v>
      </c>
      <c r="E66" s="444">
        <v>2023</v>
      </c>
      <c r="F66" s="445"/>
      <c r="G66" s="457" t="s">
        <v>34</v>
      </c>
      <c r="H66" s="447">
        <v>2370</v>
      </c>
      <c r="I66" s="447"/>
      <c r="J66" s="447">
        <v>2370</v>
      </c>
      <c r="K66" s="447"/>
      <c r="L66" s="447">
        <v>2370</v>
      </c>
      <c r="M66" s="447"/>
      <c r="N66" s="447"/>
      <c r="O66" s="447"/>
      <c r="P66" s="447">
        <v>4000</v>
      </c>
      <c r="Q66" s="447">
        <v>4000</v>
      </c>
      <c r="R66" s="447"/>
      <c r="S66" s="447">
        <v>2370</v>
      </c>
      <c r="T66" s="447">
        <v>2370</v>
      </c>
      <c r="U66" s="447"/>
      <c r="V66" s="447">
        <v>4000</v>
      </c>
      <c r="W66" s="447"/>
      <c r="X66" s="447"/>
      <c r="Y66" s="447"/>
      <c r="Z66" s="446">
        <f t="shared" si="21"/>
        <v>0</v>
      </c>
      <c r="AA66" s="445"/>
      <c r="AB66" s="372"/>
      <c r="AC66" s="435"/>
      <c r="AD66" s="372"/>
      <c r="AE66" s="372"/>
      <c r="AF66" s="372"/>
    </row>
    <row r="67" spans="1:32" s="441" customFormat="1" ht="14.25">
      <c r="A67" s="436" t="s">
        <v>100</v>
      </c>
      <c r="B67" s="461" t="s">
        <v>1021</v>
      </c>
      <c r="C67" s="438"/>
      <c r="D67" s="438"/>
      <c r="E67" s="438"/>
      <c r="F67" s="439"/>
      <c r="G67" s="421"/>
      <c r="H67" s="455">
        <f>SUM(H68:H90)</f>
        <v>282543</v>
      </c>
      <c r="I67" s="455">
        <f t="shared" ref="I67:Z67" si="22">SUM(I68:I90)</f>
        <v>0</v>
      </c>
      <c r="J67" s="455">
        <f t="shared" si="22"/>
        <v>282543</v>
      </c>
      <c r="K67" s="455">
        <f t="shared" si="22"/>
        <v>0</v>
      </c>
      <c r="L67" s="455">
        <f t="shared" si="22"/>
        <v>282543</v>
      </c>
      <c r="M67" s="455">
        <f t="shared" si="22"/>
        <v>0</v>
      </c>
      <c r="N67" s="455">
        <f t="shared" si="22"/>
        <v>0</v>
      </c>
      <c r="O67" s="455">
        <f t="shared" si="22"/>
        <v>0</v>
      </c>
      <c r="P67" s="455">
        <f t="shared" si="22"/>
        <v>265043</v>
      </c>
      <c r="Q67" s="455">
        <f t="shared" si="22"/>
        <v>265043</v>
      </c>
      <c r="R67" s="455">
        <f t="shared" si="22"/>
        <v>0</v>
      </c>
      <c r="S67" s="455">
        <f t="shared" si="22"/>
        <v>312043</v>
      </c>
      <c r="T67" s="455">
        <f t="shared" si="22"/>
        <v>228043</v>
      </c>
      <c r="U67" s="455">
        <f t="shared" si="22"/>
        <v>84000</v>
      </c>
      <c r="V67" s="455">
        <f t="shared" si="22"/>
        <v>226043</v>
      </c>
      <c r="W67" s="455">
        <f t="shared" si="22"/>
        <v>0</v>
      </c>
      <c r="X67" s="455">
        <f t="shared" si="22"/>
        <v>0</v>
      </c>
      <c r="Y67" s="455">
        <f t="shared" si="22"/>
        <v>0</v>
      </c>
      <c r="Z67" s="455">
        <f t="shared" si="22"/>
        <v>0</v>
      </c>
      <c r="AA67" s="439"/>
      <c r="AC67" s="435"/>
    </row>
    <row r="68" spans="1:32" s="372" customFormat="1" ht="45">
      <c r="A68" s="451">
        <v>1</v>
      </c>
      <c r="B68" s="456" t="s">
        <v>958</v>
      </c>
      <c r="C68" s="444" t="s">
        <v>959</v>
      </c>
      <c r="D68" s="444" t="s">
        <v>960</v>
      </c>
      <c r="E68" s="444" t="s">
        <v>933</v>
      </c>
      <c r="F68" s="445"/>
      <c r="G68" s="457" t="s">
        <v>34</v>
      </c>
      <c r="H68" s="447">
        <v>40000</v>
      </c>
      <c r="I68" s="447"/>
      <c r="J68" s="447">
        <v>40000</v>
      </c>
      <c r="K68" s="447"/>
      <c r="L68" s="447">
        <v>40000</v>
      </c>
      <c r="M68" s="447"/>
      <c r="N68" s="447"/>
      <c r="O68" s="447"/>
      <c r="P68" s="446">
        <f t="shared" si="8"/>
        <v>40000</v>
      </c>
      <c r="Q68" s="446">
        <f>VLOOKUP(B68,'[1]Phụ lục 2'!$B$14:$P$93,14,0)</f>
        <v>40000</v>
      </c>
      <c r="R68" s="447"/>
      <c r="S68" s="447">
        <v>40000</v>
      </c>
      <c r="T68" s="447">
        <v>33000</v>
      </c>
      <c r="U68" s="447">
        <f>+S68-T68</f>
        <v>7000</v>
      </c>
      <c r="V68" s="447">
        <v>40000</v>
      </c>
      <c r="W68" s="447"/>
      <c r="X68" s="447"/>
      <c r="Y68" s="447"/>
      <c r="Z68" s="446">
        <f t="shared" ref="Z68:Z90" si="23">IF((O68-M68-W68)&gt;0,O68-M68-W68,0)</f>
        <v>0</v>
      </c>
      <c r="AA68" s="445"/>
      <c r="AC68" s="435"/>
    </row>
    <row r="69" spans="1:32" s="372" customFormat="1" ht="30">
      <c r="A69" s="451">
        <v>2</v>
      </c>
      <c r="B69" s="460" t="s">
        <v>850</v>
      </c>
      <c r="C69" s="444" t="s">
        <v>35</v>
      </c>
      <c r="D69" s="444" t="s">
        <v>326</v>
      </c>
      <c r="E69" s="444">
        <v>2023</v>
      </c>
      <c r="F69" s="445"/>
      <c r="G69" s="457" t="s">
        <v>34</v>
      </c>
      <c r="H69" s="447">
        <v>6000</v>
      </c>
      <c r="I69" s="447"/>
      <c r="J69" s="447">
        <v>6000</v>
      </c>
      <c r="K69" s="447"/>
      <c r="L69" s="447">
        <v>6000</v>
      </c>
      <c r="M69" s="447"/>
      <c r="N69" s="447"/>
      <c r="O69" s="447"/>
      <c r="P69" s="446">
        <f t="shared" si="8"/>
        <v>6000</v>
      </c>
      <c r="Q69" s="446">
        <f>VLOOKUP(B69,'[1]Phụ lục 2'!$B$14:$P$93,14,0)</f>
        <v>6000</v>
      </c>
      <c r="R69" s="447"/>
      <c r="S69" s="447">
        <v>6000</v>
      </c>
      <c r="T69" s="447">
        <v>6000</v>
      </c>
      <c r="U69" s="447"/>
      <c r="V69" s="447">
        <v>7000</v>
      </c>
      <c r="W69" s="447">
        <f>SUM(X69:Y69)</f>
        <v>0</v>
      </c>
      <c r="X69" s="447"/>
      <c r="Y69" s="447"/>
      <c r="Z69" s="446">
        <f t="shared" si="23"/>
        <v>0</v>
      </c>
      <c r="AA69" s="445"/>
      <c r="AC69" s="435"/>
    </row>
    <row r="70" spans="1:32" s="372" customFormat="1" ht="30">
      <c r="A70" s="451">
        <v>3</v>
      </c>
      <c r="B70" s="460" t="s">
        <v>981</v>
      </c>
      <c r="C70" s="444" t="s">
        <v>37</v>
      </c>
      <c r="D70" s="444"/>
      <c r="E70" s="444" t="s">
        <v>933</v>
      </c>
      <c r="F70" s="445"/>
      <c r="G70" s="457" t="s">
        <v>34</v>
      </c>
      <c r="H70" s="447">
        <v>2000</v>
      </c>
      <c r="I70" s="447"/>
      <c r="J70" s="447">
        <v>2000</v>
      </c>
      <c r="K70" s="447"/>
      <c r="L70" s="447">
        <v>2000</v>
      </c>
      <c r="M70" s="447"/>
      <c r="N70" s="447"/>
      <c r="O70" s="447"/>
      <c r="P70" s="446">
        <f t="shared" si="8"/>
        <v>2000</v>
      </c>
      <c r="Q70" s="446">
        <f>VLOOKUP(B70,'[1]Phụ lục 2'!$B$14:$P$93,14,0)</f>
        <v>2000</v>
      </c>
      <c r="R70" s="447"/>
      <c r="S70" s="447">
        <v>2000</v>
      </c>
      <c r="T70" s="447">
        <v>2000</v>
      </c>
      <c r="U70" s="447"/>
      <c r="V70" s="447">
        <v>2000</v>
      </c>
      <c r="W70" s="462"/>
      <c r="X70" s="447"/>
      <c r="Y70" s="447"/>
      <c r="Z70" s="446">
        <f t="shared" si="23"/>
        <v>0</v>
      </c>
      <c r="AA70" s="445"/>
      <c r="AC70" s="435"/>
    </row>
    <row r="71" spans="1:32" s="458" customFormat="1" ht="30">
      <c r="A71" s="451">
        <v>4</v>
      </c>
      <c r="B71" s="460" t="s">
        <v>957</v>
      </c>
      <c r="C71" s="444" t="s">
        <v>37</v>
      </c>
      <c r="D71" s="444"/>
      <c r="E71" s="444" t="s">
        <v>1016</v>
      </c>
      <c r="F71" s="445"/>
      <c r="G71" s="457" t="s">
        <v>34</v>
      </c>
      <c r="H71" s="447">
        <v>13500</v>
      </c>
      <c r="I71" s="447"/>
      <c r="J71" s="447">
        <v>13500</v>
      </c>
      <c r="K71" s="447"/>
      <c r="L71" s="447">
        <v>13500</v>
      </c>
      <c r="M71" s="447"/>
      <c r="N71" s="447"/>
      <c r="O71" s="447"/>
      <c r="P71" s="446">
        <f t="shared" si="8"/>
        <v>13500</v>
      </c>
      <c r="Q71" s="446">
        <f>VLOOKUP(B71,'[1]Phụ lục 2'!$B$14:$P$93,14,0)</f>
        <v>13500</v>
      </c>
      <c r="R71" s="447"/>
      <c r="S71" s="447">
        <v>13500</v>
      </c>
      <c r="T71" s="447">
        <v>13500</v>
      </c>
      <c r="U71" s="447"/>
      <c r="V71" s="447">
        <v>13500</v>
      </c>
      <c r="W71" s="447"/>
      <c r="X71" s="447"/>
      <c r="Y71" s="447"/>
      <c r="Z71" s="446">
        <f t="shared" si="23"/>
        <v>0</v>
      </c>
      <c r="AA71" s="445"/>
      <c r="AB71" s="372"/>
      <c r="AC71" s="435"/>
      <c r="AD71" s="372"/>
      <c r="AE71" s="372"/>
      <c r="AF71" s="372"/>
    </row>
    <row r="72" spans="1:32" s="372" customFormat="1" ht="30">
      <c r="A72" s="451">
        <v>5</v>
      </c>
      <c r="B72" s="460" t="s">
        <v>971</v>
      </c>
      <c r="C72" s="444" t="s">
        <v>45</v>
      </c>
      <c r="D72" s="444" t="s">
        <v>972</v>
      </c>
      <c r="E72" s="444" t="s">
        <v>1017</v>
      </c>
      <c r="F72" s="445"/>
      <c r="G72" s="457" t="s">
        <v>34</v>
      </c>
      <c r="H72" s="447">
        <v>5000</v>
      </c>
      <c r="I72" s="447"/>
      <c r="J72" s="447">
        <v>5000</v>
      </c>
      <c r="K72" s="447"/>
      <c r="L72" s="447">
        <v>5000</v>
      </c>
      <c r="M72" s="447"/>
      <c r="N72" s="447"/>
      <c r="O72" s="447"/>
      <c r="P72" s="446">
        <f t="shared" si="8"/>
        <v>5000</v>
      </c>
      <c r="Q72" s="446">
        <f>VLOOKUP(B72,'[1]Phụ lục 2'!$B$14:$P$93,14,0)</f>
        <v>5000</v>
      </c>
      <c r="R72" s="447"/>
      <c r="S72" s="447">
        <v>5000</v>
      </c>
      <c r="T72" s="447">
        <v>5000</v>
      </c>
      <c r="U72" s="447"/>
      <c r="V72" s="447">
        <v>5000</v>
      </c>
      <c r="W72" s="447"/>
      <c r="X72" s="447"/>
      <c r="Y72" s="447"/>
      <c r="Z72" s="446">
        <f t="shared" si="23"/>
        <v>0</v>
      </c>
      <c r="AA72" s="445"/>
      <c r="AC72" s="435"/>
    </row>
    <row r="73" spans="1:32" s="372" customFormat="1" ht="30">
      <c r="A73" s="451">
        <v>6</v>
      </c>
      <c r="B73" s="460" t="s">
        <v>1031</v>
      </c>
      <c r="C73" s="444" t="s">
        <v>45</v>
      </c>
      <c r="D73" s="444" t="s">
        <v>949</v>
      </c>
      <c r="E73" s="444" t="s">
        <v>1018</v>
      </c>
      <c r="F73" s="445"/>
      <c r="G73" s="457" t="s">
        <v>34</v>
      </c>
      <c r="H73" s="447">
        <v>6500</v>
      </c>
      <c r="I73" s="447"/>
      <c r="J73" s="447">
        <v>6500</v>
      </c>
      <c r="K73" s="447"/>
      <c r="L73" s="447">
        <v>6500</v>
      </c>
      <c r="M73" s="447"/>
      <c r="N73" s="447"/>
      <c r="O73" s="447"/>
      <c r="P73" s="446">
        <f t="shared" si="8"/>
        <v>6500</v>
      </c>
      <c r="Q73" s="446">
        <v>6500</v>
      </c>
      <c r="R73" s="447"/>
      <c r="S73" s="447">
        <v>9500</v>
      </c>
      <c r="T73" s="447">
        <v>6500</v>
      </c>
      <c r="U73" s="447">
        <v>3000</v>
      </c>
      <c r="V73" s="447">
        <v>6500</v>
      </c>
      <c r="W73" s="447"/>
      <c r="X73" s="447"/>
      <c r="Y73" s="447"/>
      <c r="Z73" s="446">
        <f t="shared" si="23"/>
        <v>0</v>
      </c>
      <c r="AA73" s="445"/>
      <c r="AC73" s="435"/>
    </row>
    <row r="74" spans="1:32" s="372" customFormat="1" ht="30">
      <c r="A74" s="451">
        <v>7</v>
      </c>
      <c r="B74" s="460" t="s">
        <v>950</v>
      </c>
      <c r="C74" s="444" t="s">
        <v>46</v>
      </c>
      <c r="D74" s="444" t="s">
        <v>951</v>
      </c>
      <c r="E74" s="444" t="s">
        <v>1019</v>
      </c>
      <c r="F74" s="445"/>
      <c r="G74" s="457" t="s">
        <v>34</v>
      </c>
      <c r="H74" s="447">
        <v>5500</v>
      </c>
      <c r="I74" s="447"/>
      <c r="J74" s="447">
        <v>5500</v>
      </c>
      <c r="K74" s="447"/>
      <c r="L74" s="447">
        <v>5500</v>
      </c>
      <c r="M74" s="447"/>
      <c r="N74" s="447"/>
      <c r="O74" s="447"/>
      <c r="P74" s="446">
        <f t="shared" si="8"/>
        <v>5500</v>
      </c>
      <c r="Q74" s="446">
        <f>VLOOKUP(B74,'[1]Phụ lục 2'!$B$14:$P$93,14,0)</f>
        <v>5500</v>
      </c>
      <c r="R74" s="447"/>
      <c r="S74" s="447">
        <v>5500</v>
      </c>
      <c r="T74" s="447">
        <v>5500</v>
      </c>
      <c r="U74" s="447"/>
      <c r="V74" s="447">
        <v>5500</v>
      </c>
      <c r="W74" s="447"/>
      <c r="X74" s="447"/>
      <c r="Y74" s="447"/>
      <c r="Z74" s="446">
        <f t="shared" si="23"/>
        <v>0</v>
      </c>
      <c r="AA74" s="445"/>
      <c r="AC74" s="435"/>
    </row>
    <row r="75" spans="1:32" s="372" customFormat="1" ht="30">
      <c r="A75" s="451">
        <v>8</v>
      </c>
      <c r="B75" s="460" t="s">
        <v>973</v>
      </c>
      <c r="C75" s="444" t="s">
        <v>40</v>
      </c>
      <c r="D75" s="444">
        <v>2025</v>
      </c>
      <c r="E75" s="444" t="s">
        <v>1020</v>
      </c>
      <c r="F75" s="465"/>
      <c r="G75" s="457" t="s">
        <v>34</v>
      </c>
      <c r="H75" s="447">
        <v>5000</v>
      </c>
      <c r="I75" s="447"/>
      <c r="J75" s="447">
        <v>5000</v>
      </c>
      <c r="K75" s="447"/>
      <c r="L75" s="447">
        <v>5000</v>
      </c>
      <c r="M75" s="447"/>
      <c r="N75" s="447"/>
      <c r="O75" s="447"/>
      <c r="P75" s="446">
        <f t="shared" si="8"/>
        <v>5000</v>
      </c>
      <c r="Q75" s="446">
        <f>VLOOKUP(B75,'[1]Phụ lục 2'!$B$14:$P$93,14,0)</f>
        <v>5000</v>
      </c>
      <c r="R75" s="447"/>
      <c r="S75" s="447">
        <v>5000</v>
      </c>
      <c r="T75" s="447">
        <v>5000</v>
      </c>
      <c r="U75" s="447"/>
      <c r="V75" s="447">
        <v>5000</v>
      </c>
      <c r="W75" s="447"/>
      <c r="X75" s="447"/>
      <c r="Y75" s="445"/>
      <c r="Z75" s="446">
        <f t="shared" si="23"/>
        <v>0</v>
      </c>
      <c r="AA75" s="445"/>
      <c r="AB75" s="435">
        <v>0</v>
      </c>
    </row>
    <row r="76" spans="1:32" s="458" customFormat="1" ht="30">
      <c r="A76" s="451">
        <v>9</v>
      </c>
      <c r="B76" s="460" t="s">
        <v>1025</v>
      </c>
      <c r="C76" s="444" t="s">
        <v>42</v>
      </c>
      <c r="D76" s="444"/>
      <c r="E76" s="444">
        <v>2024</v>
      </c>
      <c r="F76" s="445"/>
      <c r="G76" s="457" t="s">
        <v>34</v>
      </c>
      <c r="H76" s="447">
        <v>6000</v>
      </c>
      <c r="I76" s="447"/>
      <c r="J76" s="447">
        <v>6000</v>
      </c>
      <c r="K76" s="447"/>
      <c r="L76" s="447">
        <v>6000</v>
      </c>
      <c r="M76" s="447"/>
      <c r="N76" s="447"/>
      <c r="O76" s="447"/>
      <c r="P76" s="446">
        <f t="shared" si="8"/>
        <v>6000</v>
      </c>
      <c r="Q76" s="447">
        <v>6000</v>
      </c>
      <c r="R76" s="447"/>
      <c r="S76" s="447">
        <v>15000</v>
      </c>
      <c r="T76" s="447">
        <v>6000</v>
      </c>
      <c r="U76" s="447">
        <v>9000</v>
      </c>
      <c r="V76" s="447">
        <v>6000</v>
      </c>
      <c r="W76" s="447"/>
      <c r="X76" s="447"/>
      <c r="Y76" s="447"/>
      <c r="Z76" s="446">
        <f t="shared" si="23"/>
        <v>0</v>
      </c>
      <c r="AA76" s="445"/>
      <c r="AB76" s="372"/>
      <c r="AC76" s="435"/>
      <c r="AD76" s="372"/>
      <c r="AE76" s="372"/>
      <c r="AF76" s="372"/>
    </row>
    <row r="77" spans="1:32" s="372" customFormat="1" ht="30">
      <c r="A77" s="451">
        <v>10</v>
      </c>
      <c r="B77" s="460" t="s">
        <v>1111</v>
      </c>
      <c r="C77" s="444" t="s">
        <v>42</v>
      </c>
      <c r="D77" s="444" t="s">
        <v>1026</v>
      </c>
      <c r="E77" s="444">
        <v>2023</v>
      </c>
      <c r="F77" s="445"/>
      <c r="G77" s="457" t="s">
        <v>34</v>
      </c>
      <c r="H77" s="447">
        <v>30000</v>
      </c>
      <c r="I77" s="447"/>
      <c r="J77" s="447">
        <v>30000</v>
      </c>
      <c r="K77" s="447"/>
      <c r="L77" s="447">
        <v>30000</v>
      </c>
      <c r="M77" s="447"/>
      <c r="N77" s="447"/>
      <c r="O77" s="447"/>
      <c r="P77" s="446">
        <f>+Q77+R77</f>
        <v>30000</v>
      </c>
      <c r="Q77" s="447">
        <v>30000</v>
      </c>
      <c r="R77" s="447"/>
      <c r="S77" s="447">
        <v>65000</v>
      </c>
      <c r="T77" s="447">
        <v>15000</v>
      </c>
      <c r="U77" s="447">
        <v>50000</v>
      </c>
      <c r="V77" s="447">
        <v>30000</v>
      </c>
      <c r="W77" s="447"/>
      <c r="X77" s="447"/>
      <c r="Y77" s="447"/>
      <c r="Z77" s="446">
        <f t="shared" si="23"/>
        <v>0</v>
      </c>
      <c r="AA77" s="445"/>
      <c r="AC77" s="435"/>
    </row>
    <row r="78" spans="1:32" s="372" customFormat="1" ht="30">
      <c r="A78" s="451">
        <v>11</v>
      </c>
      <c r="B78" s="460" t="s">
        <v>1027</v>
      </c>
      <c r="C78" s="444" t="s">
        <v>42</v>
      </c>
      <c r="D78" s="444"/>
      <c r="E78" s="444">
        <v>2024</v>
      </c>
      <c r="F78" s="445"/>
      <c r="G78" s="457" t="s">
        <v>34</v>
      </c>
      <c r="H78" s="447">
        <v>17543</v>
      </c>
      <c r="I78" s="447"/>
      <c r="J78" s="447">
        <v>17543</v>
      </c>
      <c r="K78" s="447"/>
      <c r="L78" s="447">
        <v>17543</v>
      </c>
      <c r="M78" s="447"/>
      <c r="N78" s="447"/>
      <c r="O78" s="447"/>
      <c r="P78" s="446">
        <f>+Q78+R78</f>
        <v>17543</v>
      </c>
      <c r="Q78" s="446">
        <f>VLOOKUP(B78,'[1]Phụ lục 2'!$B$14:$P$93,14,0)</f>
        <v>17543</v>
      </c>
      <c r="R78" s="447"/>
      <c r="S78" s="447">
        <v>17543</v>
      </c>
      <c r="T78" s="447">
        <v>17543</v>
      </c>
      <c r="U78" s="447"/>
      <c r="V78" s="447">
        <v>17543</v>
      </c>
      <c r="W78" s="447"/>
      <c r="X78" s="447"/>
      <c r="Y78" s="447"/>
      <c r="Z78" s="446">
        <f t="shared" si="23"/>
        <v>0</v>
      </c>
      <c r="AA78" s="445"/>
      <c r="AC78" s="435"/>
    </row>
    <row r="79" spans="1:32" s="372" customFormat="1" ht="60">
      <c r="A79" s="451">
        <v>12</v>
      </c>
      <c r="B79" s="456" t="s">
        <v>1028</v>
      </c>
      <c r="C79" s="444" t="s">
        <v>1029</v>
      </c>
      <c r="D79" s="444"/>
      <c r="E79" s="444">
        <v>2023</v>
      </c>
      <c r="F79" s="445"/>
      <c r="G79" s="457" t="s">
        <v>34</v>
      </c>
      <c r="H79" s="447">
        <v>30000</v>
      </c>
      <c r="I79" s="447"/>
      <c r="J79" s="447">
        <v>30000</v>
      </c>
      <c r="K79" s="447"/>
      <c r="L79" s="447">
        <v>30000</v>
      </c>
      <c r="M79" s="447"/>
      <c r="N79" s="447"/>
      <c r="O79" s="447"/>
      <c r="P79" s="446">
        <f>+Q79+R79</f>
        <v>30000</v>
      </c>
      <c r="Q79" s="446">
        <f>VLOOKUP(B79,'[1]Phụ lục 2'!$B$14:$P$93,14,0)</f>
        <v>30000</v>
      </c>
      <c r="R79" s="447"/>
      <c r="S79" s="447">
        <v>30000</v>
      </c>
      <c r="T79" s="447">
        <v>15000</v>
      </c>
      <c r="U79" s="447">
        <v>15000</v>
      </c>
      <c r="V79" s="447">
        <v>30000</v>
      </c>
      <c r="W79" s="447"/>
      <c r="X79" s="447"/>
      <c r="Y79" s="447"/>
      <c r="Z79" s="446">
        <f t="shared" si="23"/>
        <v>0</v>
      </c>
      <c r="AA79" s="445"/>
      <c r="AC79" s="435"/>
    </row>
    <row r="80" spans="1:32" s="372" customFormat="1" ht="45">
      <c r="A80" s="451">
        <v>13</v>
      </c>
      <c r="B80" s="456" t="s">
        <v>1032</v>
      </c>
      <c r="C80" s="459" t="s">
        <v>52</v>
      </c>
      <c r="D80" s="459" t="s">
        <v>1033</v>
      </c>
      <c r="E80" s="444" t="s">
        <v>1034</v>
      </c>
      <c r="F80" s="445"/>
      <c r="G80" s="457" t="s">
        <v>34</v>
      </c>
      <c r="H80" s="447">
        <f>SUM(I80:K80)</f>
        <v>8000</v>
      </c>
      <c r="I80" s="447"/>
      <c r="J80" s="464">
        <v>8000</v>
      </c>
      <c r="K80" s="447"/>
      <c r="L80" s="464">
        <v>8000</v>
      </c>
      <c r="M80" s="447"/>
      <c r="N80" s="447"/>
      <c r="O80" s="447"/>
      <c r="P80" s="446">
        <f>+Q80+R80</f>
        <v>8000</v>
      </c>
      <c r="Q80" s="446">
        <f>VLOOKUP(B80,'[1]Phụ lục 2'!$B$14:$P$93,14,0)</f>
        <v>8000</v>
      </c>
      <c r="R80" s="447"/>
      <c r="S80" s="446">
        <v>8000</v>
      </c>
      <c r="T80" s="446">
        <v>8000</v>
      </c>
      <c r="U80" s="447"/>
      <c r="V80" s="464">
        <v>8000</v>
      </c>
      <c r="W80" s="462"/>
      <c r="X80" s="464"/>
      <c r="Y80" s="447"/>
      <c r="Z80" s="446">
        <f t="shared" si="23"/>
        <v>0</v>
      </c>
      <c r="AA80" s="445"/>
      <c r="AC80" s="435"/>
    </row>
    <row r="81" spans="1:261" s="372" customFormat="1" ht="30">
      <c r="A81" s="451">
        <v>14</v>
      </c>
      <c r="B81" s="460" t="s">
        <v>1112</v>
      </c>
      <c r="C81" s="444" t="s">
        <v>834</v>
      </c>
      <c r="D81" s="444" t="s">
        <v>1113</v>
      </c>
      <c r="E81" s="444">
        <v>2023</v>
      </c>
      <c r="F81" s="445"/>
      <c r="G81" s="457" t="s">
        <v>34</v>
      </c>
      <c r="H81" s="447">
        <v>4000</v>
      </c>
      <c r="I81" s="447"/>
      <c r="J81" s="447">
        <v>4000</v>
      </c>
      <c r="K81" s="447"/>
      <c r="L81" s="447">
        <v>4000</v>
      </c>
      <c r="M81" s="447"/>
      <c r="N81" s="447"/>
      <c r="O81" s="447"/>
      <c r="P81" s="446">
        <f t="shared" ref="P81:P90" si="24">+Q81+R81</f>
        <v>4000</v>
      </c>
      <c r="Q81" s="446">
        <f>VLOOKUP(B81,'[1]Phụ lục 2'!$B$14:$P$93,14,0)</f>
        <v>4000</v>
      </c>
      <c r="R81" s="447"/>
      <c r="S81" s="447">
        <f>+T81+U81</f>
        <v>4000</v>
      </c>
      <c r="T81" s="447">
        <v>4000</v>
      </c>
      <c r="U81" s="447"/>
      <c r="V81" s="447">
        <v>0</v>
      </c>
      <c r="W81" s="462"/>
      <c r="X81" s="447"/>
      <c r="Y81" s="447"/>
      <c r="Z81" s="446">
        <f t="shared" si="23"/>
        <v>0</v>
      </c>
      <c r="AA81" s="445"/>
      <c r="AC81" s="435"/>
    </row>
    <row r="82" spans="1:261" s="485" customFormat="1" ht="30">
      <c r="A82" s="451">
        <v>15</v>
      </c>
      <c r="B82" s="456" t="s">
        <v>1114</v>
      </c>
      <c r="C82" s="459" t="s">
        <v>46</v>
      </c>
      <c r="D82" s="459" t="s">
        <v>1115</v>
      </c>
      <c r="E82" s="444">
        <v>2024</v>
      </c>
      <c r="F82" s="445"/>
      <c r="G82" s="457" t="s">
        <v>34</v>
      </c>
      <c r="H82" s="447">
        <f>SUM(I82:K82)</f>
        <v>4000</v>
      </c>
      <c r="I82" s="447"/>
      <c r="J82" s="464">
        <v>4000</v>
      </c>
      <c r="K82" s="447"/>
      <c r="L82" s="464">
        <v>4000</v>
      </c>
      <c r="M82" s="447"/>
      <c r="N82" s="447"/>
      <c r="O82" s="447"/>
      <c r="P82" s="446">
        <f t="shared" si="24"/>
        <v>4000</v>
      </c>
      <c r="Q82" s="446">
        <f>VLOOKUP(B82,'[1]Phụ lục 2'!$B$14:$P$93,14,0)</f>
        <v>4000</v>
      </c>
      <c r="R82" s="447"/>
      <c r="S82" s="447">
        <f t="shared" ref="S82:S90" si="25">+T82+U82</f>
        <v>4000</v>
      </c>
      <c r="T82" s="464">
        <v>4000</v>
      </c>
      <c r="U82" s="447"/>
      <c r="V82" s="464">
        <v>4000</v>
      </c>
      <c r="W82" s="462"/>
      <c r="X82" s="464"/>
      <c r="Y82" s="447"/>
      <c r="Z82" s="446">
        <f t="shared" si="23"/>
        <v>0</v>
      </c>
      <c r="AA82" s="445"/>
      <c r="AB82" s="372"/>
      <c r="AC82" s="435"/>
      <c r="AD82" s="372"/>
      <c r="AE82" s="372"/>
      <c r="AF82" s="372"/>
      <c r="AG82" s="372"/>
      <c r="AH82" s="372"/>
      <c r="AI82" s="372"/>
      <c r="AJ82" s="372"/>
      <c r="AK82" s="372"/>
      <c r="AL82" s="372"/>
      <c r="AM82" s="372"/>
      <c r="AN82" s="372"/>
      <c r="AO82" s="372"/>
      <c r="AP82" s="372"/>
      <c r="AQ82" s="372"/>
      <c r="AR82" s="372"/>
      <c r="AS82" s="372"/>
      <c r="AT82" s="372"/>
      <c r="AU82" s="372"/>
      <c r="AV82" s="372"/>
      <c r="AW82" s="372"/>
      <c r="AX82" s="372"/>
      <c r="AY82" s="372"/>
      <c r="AZ82" s="372"/>
      <c r="BA82" s="372"/>
      <c r="BB82" s="372"/>
      <c r="BC82" s="372"/>
      <c r="BD82" s="372"/>
      <c r="BE82" s="372"/>
      <c r="BF82" s="372"/>
      <c r="BG82" s="372"/>
      <c r="BH82" s="372"/>
      <c r="BI82" s="372"/>
      <c r="BJ82" s="372"/>
      <c r="BK82" s="372"/>
      <c r="BL82" s="372"/>
      <c r="BM82" s="372"/>
      <c r="BN82" s="372"/>
      <c r="BO82" s="372"/>
      <c r="BP82" s="372"/>
      <c r="BQ82" s="372"/>
      <c r="BR82" s="372"/>
      <c r="BS82" s="372"/>
      <c r="BT82" s="372"/>
      <c r="BU82" s="372"/>
      <c r="BV82" s="372"/>
      <c r="BW82" s="372"/>
      <c r="BX82" s="372"/>
      <c r="BY82" s="372"/>
      <c r="BZ82" s="372"/>
      <c r="CA82" s="372"/>
      <c r="CB82" s="372"/>
      <c r="CC82" s="372"/>
      <c r="CD82" s="372"/>
      <c r="CE82" s="372"/>
      <c r="CF82" s="372"/>
      <c r="CG82" s="372"/>
      <c r="CH82" s="372"/>
      <c r="CI82" s="372"/>
      <c r="CJ82" s="372"/>
      <c r="CK82" s="372"/>
      <c r="CL82" s="372"/>
      <c r="CM82" s="372"/>
      <c r="CN82" s="372"/>
      <c r="CO82" s="372"/>
      <c r="CP82" s="372"/>
      <c r="CQ82" s="372"/>
      <c r="CR82" s="372"/>
      <c r="CS82" s="372"/>
      <c r="CT82" s="372"/>
      <c r="CU82" s="372"/>
      <c r="CV82" s="372"/>
      <c r="CW82" s="372"/>
      <c r="CX82" s="372"/>
      <c r="CY82" s="372"/>
      <c r="CZ82" s="372"/>
      <c r="DA82" s="372"/>
      <c r="DB82" s="372"/>
      <c r="DC82" s="372"/>
      <c r="DD82" s="372"/>
      <c r="DE82" s="372"/>
      <c r="DF82" s="372"/>
      <c r="DG82" s="372"/>
      <c r="DH82" s="372"/>
      <c r="DI82" s="372"/>
      <c r="DJ82" s="372"/>
      <c r="DK82" s="372"/>
      <c r="DL82" s="372"/>
      <c r="DM82" s="372"/>
      <c r="DN82" s="372"/>
      <c r="DO82" s="372"/>
      <c r="DP82" s="372"/>
      <c r="DQ82" s="372"/>
      <c r="DR82" s="372"/>
      <c r="DS82" s="372"/>
      <c r="DT82" s="372"/>
      <c r="DU82" s="372"/>
      <c r="DV82" s="372"/>
      <c r="DW82" s="372"/>
      <c r="DX82" s="372"/>
      <c r="DY82" s="372"/>
      <c r="DZ82" s="372"/>
      <c r="EA82" s="372"/>
      <c r="EB82" s="372"/>
      <c r="EC82" s="372"/>
      <c r="ED82" s="372"/>
      <c r="EE82" s="372"/>
      <c r="EF82" s="372"/>
      <c r="EG82" s="372"/>
      <c r="EH82" s="372"/>
      <c r="EI82" s="372"/>
      <c r="EJ82" s="372"/>
      <c r="EK82" s="372"/>
      <c r="EL82" s="372"/>
      <c r="EM82" s="372"/>
      <c r="EN82" s="372"/>
      <c r="EO82" s="372"/>
      <c r="EP82" s="372"/>
      <c r="EQ82" s="372"/>
      <c r="ER82" s="372"/>
      <c r="ES82" s="372"/>
      <c r="ET82" s="372"/>
      <c r="EU82" s="372"/>
      <c r="EV82" s="372"/>
      <c r="EW82" s="372"/>
      <c r="EX82" s="372"/>
      <c r="EY82" s="372"/>
      <c r="EZ82" s="372"/>
      <c r="FA82" s="372"/>
      <c r="FB82" s="372"/>
      <c r="FC82" s="372"/>
      <c r="FD82" s="372"/>
      <c r="FE82" s="372"/>
      <c r="FF82" s="372"/>
      <c r="FG82" s="372"/>
      <c r="FH82" s="372"/>
      <c r="FI82" s="372"/>
      <c r="FJ82" s="372"/>
      <c r="FK82" s="372"/>
      <c r="FL82" s="372"/>
      <c r="FM82" s="372"/>
      <c r="FN82" s="372"/>
      <c r="FO82" s="372"/>
      <c r="FP82" s="372"/>
      <c r="FQ82" s="372"/>
      <c r="FR82" s="372"/>
      <c r="FS82" s="372"/>
      <c r="FT82" s="372"/>
      <c r="FU82" s="372"/>
      <c r="FV82" s="372"/>
      <c r="FW82" s="372"/>
      <c r="FX82" s="372"/>
      <c r="FY82" s="372"/>
      <c r="FZ82" s="372"/>
      <c r="GA82" s="372"/>
      <c r="GB82" s="372"/>
      <c r="GC82" s="372"/>
      <c r="GD82" s="372"/>
      <c r="GE82" s="372"/>
      <c r="GF82" s="372"/>
      <c r="GG82" s="372"/>
      <c r="GH82" s="372"/>
      <c r="GI82" s="372"/>
      <c r="GJ82" s="372"/>
      <c r="GK82" s="372"/>
      <c r="GL82" s="372"/>
      <c r="GM82" s="372"/>
      <c r="GN82" s="372"/>
      <c r="GO82" s="372"/>
      <c r="GP82" s="372"/>
      <c r="GQ82" s="372"/>
      <c r="GR82" s="372"/>
      <c r="GS82" s="372"/>
      <c r="GT82" s="372"/>
      <c r="GU82" s="372"/>
      <c r="GV82" s="372"/>
      <c r="GW82" s="372"/>
      <c r="GX82" s="372"/>
      <c r="GY82" s="372"/>
      <c r="GZ82" s="372"/>
      <c r="HA82" s="372"/>
      <c r="HB82" s="372"/>
      <c r="HC82" s="372"/>
      <c r="HD82" s="372"/>
      <c r="HE82" s="372"/>
      <c r="HF82" s="372"/>
      <c r="HG82" s="372"/>
      <c r="HH82" s="372"/>
      <c r="HI82" s="372"/>
      <c r="HJ82" s="372"/>
      <c r="HK82" s="372"/>
      <c r="HL82" s="372"/>
      <c r="HM82" s="372"/>
      <c r="HN82" s="372"/>
      <c r="HO82" s="372"/>
      <c r="HP82" s="372"/>
      <c r="HQ82" s="372"/>
      <c r="HR82" s="372"/>
      <c r="HS82" s="372"/>
      <c r="HT82" s="372"/>
      <c r="HU82" s="372"/>
      <c r="HV82" s="372"/>
      <c r="HW82" s="372"/>
      <c r="HX82" s="372"/>
      <c r="HY82" s="372"/>
      <c r="HZ82" s="372"/>
      <c r="IA82" s="372"/>
      <c r="IB82" s="372"/>
      <c r="IC82" s="372"/>
      <c r="ID82" s="372"/>
      <c r="IE82" s="372"/>
      <c r="IF82" s="372"/>
      <c r="IG82" s="372"/>
      <c r="IH82" s="372"/>
      <c r="II82" s="372"/>
      <c r="IJ82" s="372"/>
      <c r="IK82" s="372"/>
      <c r="IL82" s="372"/>
      <c r="IM82" s="372"/>
      <c r="IN82" s="372"/>
      <c r="IO82" s="372"/>
      <c r="IP82" s="372"/>
      <c r="IQ82" s="372"/>
      <c r="IR82" s="372"/>
      <c r="IS82" s="372"/>
      <c r="IT82" s="372"/>
      <c r="IU82" s="372"/>
      <c r="IV82" s="372"/>
      <c r="IW82" s="372"/>
      <c r="IX82" s="372"/>
      <c r="IY82" s="372"/>
      <c r="IZ82" s="372"/>
      <c r="JA82" s="372"/>
    </row>
    <row r="83" spans="1:261" s="372" customFormat="1" ht="45">
      <c r="A83" s="451">
        <v>16</v>
      </c>
      <c r="B83" s="456" t="s">
        <v>1116</v>
      </c>
      <c r="C83" s="459" t="s">
        <v>46</v>
      </c>
      <c r="D83" s="459" t="s">
        <v>1117</v>
      </c>
      <c r="E83" s="444">
        <v>2024</v>
      </c>
      <c r="F83" s="445"/>
      <c r="G83" s="457" t="s">
        <v>34</v>
      </c>
      <c r="H83" s="447">
        <f>SUM(I83:K83)</f>
        <v>2000</v>
      </c>
      <c r="I83" s="447"/>
      <c r="J83" s="464">
        <v>2000</v>
      </c>
      <c r="K83" s="447"/>
      <c r="L83" s="464">
        <v>2000</v>
      </c>
      <c r="M83" s="447"/>
      <c r="N83" s="447"/>
      <c r="O83" s="447"/>
      <c r="P83" s="446">
        <f t="shared" si="24"/>
        <v>2000</v>
      </c>
      <c r="Q83" s="446">
        <f>VLOOKUP(B83,'[1]Phụ lục 2'!$B$14:$P$93,14,0)</f>
        <v>2000</v>
      </c>
      <c r="R83" s="447"/>
      <c r="S83" s="447">
        <f t="shared" si="25"/>
        <v>2000</v>
      </c>
      <c r="T83" s="464">
        <v>2000</v>
      </c>
      <c r="U83" s="447"/>
      <c r="V83" s="464">
        <v>2000</v>
      </c>
      <c r="W83" s="464"/>
      <c r="X83" s="464"/>
      <c r="Y83" s="447"/>
      <c r="Z83" s="446">
        <f t="shared" si="23"/>
        <v>0</v>
      </c>
      <c r="AA83" s="445"/>
      <c r="AC83" s="435"/>
      <c r="AG83" s="458"/>
      <c r="AH83" s="458"/>
      <c r="AI83" s="458"/>
      <c r="AJ83" s="458"/>
      <c r="AK83" s="458"/>
      <c r="AL83" s="458"/>
      <c r="AM83" s="458"/>
      <c r="AN83" s="458"/>
      <c r="AO83" s="458"/>
      <c r="AP83" s="458"/>
      <c r="AQ83" s="458"/>
      <c r="AR83" s="458"/>
      <c r="AS83" s="458"/>
      <c r="AT83" s="458"/>
      <c r="AU83" s="458"/>
      <c r="AV83" s="458"/>
      <c r="AW83" s="458"/>
      <c r="AX83" s="458"/>
      <c r="AY83" s="458"/>
      <c r="AZ83" s="458"/>
      <c r="BA83" s="458"/>
      <c r="BB83" s="458"/>
      <c r="BC83" s="458"/>
      <c r="BD83" s="458"/>
      <c r="BE83" s="458"/>
      <c r="BF83" s="458"/>
      <c r="BG83" s="458"/>
      <c r="BH83" s="458"/>
      <c r="BI83" s="458"/>
      <c r="BJ83" s="458"/>
      <c r="BK83" s="458"/>
      <c r="BL83" s="458"/>
      <c r="BM83" s="458"/>
      <c r="BN83" s="458"/>
      <c r="BO83" s="458"/>
      <c r="BP83" s="458"/>
      <c r="BQ83" s="458"/>
      <c r="BR83" s="458"/>
      <c r="BS83" s="458"/>
      <c r="BT83" s="458"/>
      <c r="BU83" s="458"/>
      <c r="BV83" s="458"/>
      <c r="BW83" s="458"/>
      <c r="BX83" s="458"/>
      <c r="BY83" s="458"/>
      <c r="BZ83" s="458"/>
      <c r="CA83" s="458"/>
      <c r="CB83" s="458"/>
      <c r="CC83" s="458"/>
      <c r="CD83" s="458"/>
      <c r="CE83" s="458"/>
      <c r="CF83" s="458"/>
      <c r="CG83" s="458"/>
      <c r="CH83" s="458"/>
      <c r="CI83" s="458"/>
      <c r="CJ83" s="458"/>
      <c r="CK83" s="458"/>
      <c r="CL83" s="458"/>
      <c r="CM83" s="458"/>
      <c r="CN83" s="458"/>
      <c r="CO83" s="458"/>
      <c r="CP83" s="458"/>
      <c r="CQ83" s="458"/>
      <c r="CR83" s="458"/>
      <c r="CS83" s="458"/>
      <c r="CT83" s="458"/>
      <c r="CU83" s="458"/>
      <c r="CV83" s="458"/>
      <c r="CW83" s="458"/>
      <c r="CX83" s="458"/>
      <c r="CY83" s="458"/>
      <c r="CZ83" s="458"/>
      <c r="DA83" s="458"/>
      <c r="DB83" s="458"/>
      <c r="DC83" s="458"/>
      <c r="DD83" s="458"/>
      <c r="DE83" s="458"/>
      <c r="DF83" s="458"/>
      <c r="DG83" s="458"/>
      <c r="DH83" s="458"/>
      <c r="DI83" s="458"/>
      <c r="DJ83" s="458"/>
      <c r="DK83" s="458"/>
      <c r="DL83" s="458"/>
      <c r="DM83" s="458"/>
      <c r="DN83" s="458"/>
      <c r="DO83" s="458"/>
      <c r="DP83" s="458"/>
      <c r="DQ83" s="458"/>
      <c r="DR83" s="458"/>
      <c r="DS83" s="458"/>
      <c r="DT83" s="458"/>
      <c r="DU83" s="458"/>
      <c r="DV83" s="458"/>
      <c r="DW83" s="458"/>
      <c r="DX83" s="458"/>
      <c r="DY83" s="458"/>
      <c r="DZ83" s="458"/>
      <c r="EA83" s="458"/>
      <c r="EB83" s="458"/>
      <c r="EC83" s="458"/>
      <c r="ED83" s="458"/>
      <c r="EE83" s="458"/>
      <c r="EF83" s="458"/>
      <c r="EG83" s="458"/>
      <c r="EH83" s="458"/>
      <c r="EI83" s="458"/>
      <c r="EJ83" s="458"/>
      <c r="EK83" s="458"/>
      <c r="EL83" s="458"/>
      <c r="EM83" s="458"/>
      <c r="EN83" s="458"/>
      <c r="EO83" s="458"/>
      <c r="EP83" s="458"/>
      <c r="EQ83" s="458"/>
      <c r="ER83" s="458"/>
      <c r="ES83" s="458"/>
      <c r="ET83" s="458"/>
      <c r="EU83" s="458"/>
      <c r="EV83" s="458"/>
      <c r="EW83" s="458"/>
      <c r="EX83" s="458"/>
      <c r="EY83" s="458"/>
      <c r="EZ83" s="458"/>
      <c r="FA83" s="458"/>
      <c r="FB83" s="458"/>
      <c r="FC83" s="458"/>
      <c r="FD83" s="458"/>
      <c r="FE83" s="458"/>
      <c r="FF83" s="458"/>
      <c r="FG83" s="458"/>
      <c r="FH83" s="458"/>
      <c r="FI83" s="458"/>
      <c r="FJ83" s="458"/>
      <c r="FK83" s="458"/>
      <c r="FL83" s="458"/>
      <c r="FM83" s="458"/>
      <c r="FN83" s="458"/>
      <c r="FO83" s="458"/>
      <c r="FP83" s="458"/>
      <c r="FQ83" s="458"/>
      <c r="FR83" s="458"/>
      <c r="FS83" s="458"/>
      <c r="FT83" s="458"/>
      <c r="FU83" s="458"/>
      <c r="FV83" s="458"/>
      <c r="FW83" s="458"/>
      <c r="FX83" s="458"/>
      <c r="FY83" s="458"/>
      <c r="FZ83" s="458"/>
      <c r="GA83" s="458"/>
      <c r="GB83" s="458"/>
      <c r="GC83" s="458"/>
      <c r="GD83" s="458"/>
      <c r="GE83" s="458"/>
      <c r="GF83" s="458"/>
      <c r="GG83" s="458"/>
      <c r="GH83" s="458"/>
      <c r="GI83" s="458"/>
      <c r="GJ83" s="458"/>
      <c r="GK83" s="458"/>
      <c r="GL83" s="458"/>
      <c r="GM83" s="458"/>
      <c r="GN83" s="458"/>
      <c r="GO83" s="458"/>
      <c r="GP83" s="458"/>
      <c r="GQ83" s="458"/>
      <c r="GR83" s="458"/>
      <c r="GS83" s="458"/>
      <c r="GT83" s="458"/>
      <c r="GU83" s="458"/>
      <c r="GV83" s="458"/>
      <c r="GW83" s="458"/>
      <c r="GX83" s="458"/>
      <c r="GY83" s="458"/>
      <c r="GZ83" s="458"/>
      <c r="HA83" s="458"/>
      <c r="HB83" s="458"/>
      <c r="HC83" s="458"/>
      <c r="HD83" s="458"/>
      <c r="HE83" s="458"/>
      <c r="HF83" s="458"/>
      <c r="HG83" s="458"/>
      <c r="HH83" s="458"/>
      <c r="HI83" s="458"/>
      <c r="HJ83" s="458"/>
      <c r="HK83" s="458"/>
      <c r="HL83" s="458"/>
      <c r="HM83" s="458"/>
      <c r="HN83" s="458"/>
      <c r="HO83" s="458"/>
      <c r="HP83" s="458"/>
      <c r="HQ83" s="458"/>
      <c r="HR83" s="458"/>
      <c r="HS83" s="458"/>
      <c r="HT83" s="458"/>
      <c r="HU83" s="458"/>
      <c r="HV83" s="458"/>
      <c r="HW83" s="458"/>
      <c r="HX83" s="458"/>
      <c r="HY83" s="458"/>
      <c r="HZ83" s="458"/>
      <c r="IA83" s="458"/>
      <c r="IB83" s="458"/>
      <c r="IC83" s="458"/>
      <c r="ID83" s="458"/>
      <c r="IE83" s="458"/>
      <c r="IF83" s="458"/>
      <c r="IG83" s="458"/>
      <c r="IH83" s="458"/>
      <c r="II83" s="458"/>
      <c r="IJ83" s="458"/>
      <c r="IK83" s="458"/>
      <c r="IL83" s="458"/>
      <c r="IM83" s="458"/>
      <c r="IN83" s="458"/>
      <c r="IO83" s="458"/>
      <c r="IP83" s="458"/>
      <c r="IQ83" s="458"/>
      <c r="IR83" s="458"/>
      <c r="IS83" s="458"/>
      <c r="IT83" s="458"/>
      <c r="IU83" s="458"/>
      <c r="IV83" s="458"/>
      <c r="IW83" s="458"/>
      <c r="IX83" s="458"/>
      <c r="IY83" s="458"/>
      <c r="IZ83" s="458"/>
      <c r="JA83" s="458"/>
    </row>
    <row r="84" spans="1:261" s="458" customFormat="1" ht="45">
      <c r="A84" s="451">
        <v>17</v>
      </c>
      <c r="B84" s="460" t="s">
        <v>1118</v>
      </c>
      <c r="C84" s="444" t="s">
        <v>46</v>
      </c>
      <c r="D84" s="444" t="s">
        <v>1119</v>
      </c>
      <c r="E84" s="444">
        <v>2023</v>
      </c>
      <c r="F84" s="445"/>
      <c r="G84" s="457" t="s">
        <v>34</v>
      </c>
      <c r="H84" s="447">
        <v>4000</v>
      </c>
      <c r="I84" s="447"/>
      <c r="J84" s="447">
        <v>4000</v>
      </c>
      <c r="K84" s="447"/>
      <c r="L84" s="447">
        <v>4000</v>
      </c>
      <c r="M84" s="447"/>
      <c r="N84" s="447"/>
      <c r="O84" s="447"/>
      <c r="P84" s="446">
        <f t="shared" si="24"/>
        <v>4000</v>
      </c>
      <c r="Q84" s="446">
        <f>VLOOKUP(B84,'[1]Phụ lục 2'!$B$14:$P$93,14,0)</f>
        <v>4000</v>
      </c>
      <c r="R84" s="447"/>
      <c r="S84" s="447">
        <f t="shared" si="25"/>
        <v>4000</v>
      </c>
      <c r="T84" s="447">
        <v>4000</v>
      </c>
      <c r="U84" s="447"/>
      <c r="V84" s="447">
        <v>4000</v>
      </c>
      <c r="W84" s="447"/>
      <c r="X84" s="447"/>
      <c r="Y84" s="447"/>
      <c r="Z84" s="446">
        <f t="shared" si="23"/>
        <v>0</v>
      </c>
      <c r="AA84" s="445"/>
      <c r="AB84" s="372"/>
      <c r="AC84" s="435"/>
      <c r="AD84" s="372"/>
      <c r="AE84" s="372"/>
      <c r="AF84" s="372"/>
    </row>
    <row r="85" spans="1:261" s="372" customFormat="1" ht="30">
      <c r="A85" s="451">
        <v>18</v>
      </c>
      <c r="B85" s="443" t="s">
        <v>1120</v>
      </c>
      <c r="C85" s="444" t="s">
        <v>1088</v>
      </c>
      <c r="D85" s="444" t="s">
        <v>1121</v>
      </c>
      <c r="E85" s="444">
        <v>2025</v>
      </c>
      <c r="F85" s="445"/>
      <c r="G85" s="457" t="s">
        <v>34</v>
      </c>
      <c r="H85" s="447">
        <v>40000</v>
      </c>
      <c r="I85" s="447"/>
      <c r="J85" s="447">
        <v>40000</v>
      </c>
      <c r="K85" s="447"/>
      <c r="L85" s="447">
        <v>40000</v>
      </c>
      <c r="M85" s="447"/>
      <c r="N85" s="447"/>
      <c r="O85" s="447"/>
      <c r="P85" s="446">
        <f t="shared" si="24"/>
        <v>40000</v>
      </c>
      <c r="Q85" s="446">
        <f>VLOOKUP(B85,'[1]Phụ lục 2'!$B$14:$P$93,14,0)</f>
        <v>40000</v>
      </c>
      <c r="R85" s="447"/>
      <c r="S85" s="447">
        <f t="shared" si="25"/>
        <v>40000</v>
      </c>
      <c r="T85" s="447">
        <v>40000</v>
      </c>
      <c r="U85" s="447"/>
      <c r="V85" s="447">
        <v>40000</v>
      </c>
      <c r="W85" s="447"/>
      <c r="X85" s="447"/>
      <c r="Y85" s="445"/>
      <c r="Z85" s="446">
        <f t="shared" si="23"/>
        <v>0</v>
      </c>
      <c r="AA85" s="445"/>
      <c r="AC85" s="435"/>
    </row>
    <row r="86" spans="1:261" s="486" customFormat="1" ht="150">
      <c r="A86" s="451">
        <v>19</v>
      </c>
      <c r="B86" s="460" t="s">
        <v>1122</v>
      </c>
      <c r="C86" s="444" t="s">
        <v>37</v>
      </c>
      <c r="D86" s="444" t="s">
        <v>1123</v>
      </c>
      <c r="E86" s="444">
        <v>2025</v>
      </c>
      <c r="F86" s="445"/>
      <c r="G86" s="457" t="s">
        <v>34</v>
      </c>
      <c r="H86" s="447">
        <v>15000</v>
      </c>
      <c r="I86" s="447"/>
      <c r="J86" s="447">
        <v>15000</v>
      </c>
      <c r="K86" s="447"/>
      <c r="L86" s="447">
        <v>15000</v>
      </c>
      <c r="M86" s="447"/>
      <c r="N86" s="447"/>
      <c r="O86" s="447"/>
      <c r="P86" s="446">
        <f t="shared" si="24"/>
        <v>15000</v>
      </c>
      <c r="Q86" s="446">
        <f>VLOOKUP(B86,'[1]Phụ lục 2'!$B$14:$P$93,14,0)</f>
        <v>15000</v>
      </c>
      <c r="R86" s="447"/>
      <c r="S86" s="447">
        <f t="shared" si="25"/>
        <v>15000</v>
      </c>
      <c r="T86" s="447">
        <v>15000</v>
      </c>
      <c r="U86" s="447"/>
      <c r="V86" s="447">
        <v>0</v>
      </c>
      <c r="W86" s="447"/>
      <c r="X86" s="447"/>
      <c r="Y86" s="447"/>
      <c r="Z86" s="446">
        <f t="shared" si="23"/>
        <v>0</v>
      </c>
      <c r="AA86" s="445"/>
      <c r="AC86" s="435"/>
    </row>
    <row r="87" spans="1:261" s="372" customFormat="1" ht="30">
      <c r="A87" s="451">
        <v>20</v>
      </c>
      <c r="B87" s="460" t="s">
        <v>1124</v>
      </c>
      <c r="C87" s="444" t="s">
        <v>37</v>
      </c>
      <c r="D87" s="444"/>
      <c r="E87" s="444">
        <v>2023</v>
      </c>
      <c r="F87" s="459"/>
      <c r="G87" s="457" t="s">
        <v>34</v>
      </c>
      <c r="H87" s="447">
        <v>2000</v>
      </c>
      <c r="I87" s="447"/>
      <c r="J87" s="447">
        <v>2000</v>
      </c>
      <c r="K87" s="447"/>
      <c r="L87" s="447">
        <v>2000</v>
      </c>
      <c r="M87" s="447"/>
      <c r="N87" s="447"/>
      <c r="O87" s="447"/>
      <c r="P87" s="446">
        <f t="shared" si="24"/>
        <v>2000</v>
      </c>
      <c r="Q87" s="446">
        <f>VLOOKUP(B87,'[1]Phụ lục 2'!$B$14:$P$93,14,0)</f>
        <v>2000</v>
      </c>
      <c r="R87" s="447"/>
      <c r="S87" s="447">
        <f t="shared" si="25"/>
        <v>2000</v>
      </c>
      <c r="T87" s="447">
        <v>2000</v>
      </c>
      <c r="U87" s="447"/>
      <c r="V87" s="447">
        <v>0</v>
      </c>
      <c r="W87" s="447"/>
      <c r="X87" s="447"/>
      <c r="Y87" s="447"/>
      <c r="Z87" s="446">
        <f t="shared" si="23"/>
        <v>0</v>
      </c>
      <c r="AA87" s="446"/>
      <c r="AC87" s="435"/>
    </row>
    <row r="88" spans="1:261" s="372" customFormat="1" ht="30">
      <c r="A88" s="451">
        <v>21</v>
      </c>
      <c r="B88" s="460" t="s">
        <v>1125</v>
      </c>
      <c r="C88" s="444" t="s">
        <v>37</v>
      </c>
      <c r="D88" s="444"/>
      <c r="E88" s="444">
        <v>2024</v>
      </c>
      <c r="F88" s="459"/>
      <c r="G88" s="457" t="s">
        <v>34</v>
      </c>
      <c r="H88" s="447">
        <v>3500</v>
      </c>
      <c r="I88" s="447"/>
      <c r="J88" s="447">
        <v>3500</v>
      </c>
      <c r="K88" s="447"/>
      <c r="L88" s="447">
        <v>3500</v>
      </c>
      <c r="M88" s="447"/>
      <c r="N88" s="447"/>
      <c r="O88" s="447"/>
      <c r="P88" s="446">
        <f t="shared" si="24"/>
        <v>3500</v>
      </c>
      <c r="Q88" s="446">
        <f>VLOOKUP(B88,'[1]Phụ lục 2'!$B$14:$P$93,14,0)</f>
        <v>3500</v>
      </c>
      <c r="R88" s="447"/>
      <c r="S88" s="447">
        <f t="shared" si="25"/>
        <v>3500</v>
      </c>
      <c r="T88" s="447">
        <v>3500</v>
      </c>
      <c r="U88" s="447"/>
      <c r="V88" s="447">
        <v>0</v>
      </c>
      <c r="W88" s="447"/>
      <c r="X88" s="447"/>
      <c r="Y88" s="447"/>
      <c r="Z88" s="446">
        <f t="shared" si="23"/>
        <v>0</v>
      </c>
      <c r="AA88" s="446"/>
      <c r="AC88" s="435"/>
    </row>
    <row r="89" spans="1:261" s="372" customFormat="1" ht="45">
      <c r="A89" s="451">
        <v>22</v>
      </c>
      <c r="B89" s="460" t="s">
        <v>1126</v>
      </c>
      <c r="C89" s="444" t="s">
        <v>35</v>
      </c>
      <c r="D89" s="444" t="s">
        <v>1127</v>
      </c>
      <c r="E89" s="444">
        <v>2023</v>
      </c>
      <c r="F89" s="445"/>
      <c r="G89" s="457" t="s">
        <v>34</v>
      </c>
      <c r="H89" s="447">
        <v>5000</v>
      </c>
      <c r="I89" s="447"/>
      <c r="J89" s="447">
        <v>5000</v>
      </c>
      <c r="K89" s="447"/>
      <c r="L89" s="447">
        <v>5000</v>
      </c>
      <c r="M89" s="447"/>
      <c r="N89" s="447"/>
      <c r="O89" s="447"/>
      <c r="P89" s="446">
        <f t="shared" si="24"/>
        <v>5000</v>
      </c>
      <c r="Q89" s="446">
        <f>VLOOKUP(B89,'[1]Phụ lục 2'!$B$14:$P$93,14,0)</f>
        <v>5000</v>
      </c>
      <c r="R89" s="447"/>
      <c r="S89" s="447">
        <f t="shared" si="25"/>
        <v>5000</v>
      </c>
      <c r="T89" s="447">
        <v>5000</v>
      </c>
      <c r="U89" s="447"/>
      <c r="V89" s="447">
        <v>0</v>
      </c>
      <c r="W89" s="447"/>
      <c r="X89" s="447"/>
      <c r="Y89" s="447"/>
      <c r="Z89" s="446">
        <f t="shared" si="23"/>
        <v>0</v>
      </c>
      <c r="AA89" s="445"/>
      <c r="AC89" s="435"/>
    </row>
    <row r="90" spans="1:261" s="372" customFormat="1" ht="45">
      <c r="A90" s="451">
        <v>23</v>
      </c>
      <c r="B90" s="460" t="s">
        <v>1128</v>
      </c>
      <c r="C90" s="444" t="s">
        <v>1129</v>
      </c>
      <c r="D90" s="444" t="s">
        <v>1127</v>
      </c>
      <c r="E90" s="444">
        <v>2024</v>
      </c>
      <c r="F90" s="445"/>
      <c r="G90" s="457" t="s">
        <v>34</v>
      </c>
      <c r="H90" s="447">
        <v>28000</v>
      </c>
      <c r="I90" s="447"/>
      <c r="J90" s="447">
        <f>H90-I90</f>
        <v>28000</v>
      </c>
      <c r="K90" s="447"/>
      <c r="L90" s="447">
        <v>28000</v>
      </c>
      <c r="M90" s="447"/>
      <c r="N90" s="447"/>
      <c r="O90" s="447"/>
      <c r="P90" s="446">
        <f t="shared" si="24"/>
        <v>10500</v>
      </c>
      <c r="Q90" s="446">
        <f>VLOOKUP(B90,'[1]Phụ lục 2'!$B$14:$P$93,14,0)</f>
        <v>10500</v>
      </c>
      <c r="R90" s="447"/>
      <c r="S90" s="447">
        <f t="shared" si="25"/>
        <v>10500</v>
      </c>
      <c r="T90" s="447">
        <v>10500</v>
      </c>
      <c r="U90" s="447"/>
      <c r="V90" s="447">
        <v>0</v>
      </c>
      <c r="W90" s="447"/>
      <c r="X90" s="447"/>
      <c r="Y90" s="447"/>
      <c r="Z90" s="446">
        <f t="shared" si="23"/>
        <v>0</v>
      </c>
      <c r="AA90" s="445"/>
      <c r="AC90" s="435"/>
    </row>
    <row r="92" spans="1:261" s="469" customFormat="1" ht="18.75" customHeight="1">
      <c r="A92" s="466"/>
      <c r="B92" s="467"/>
      <c r="C92" s="466"/>
      <c r="D92" s="466"/>
      <c r="E92" s="467"/>
      <c r="F92" s="467"/>
      <c r="G92" s="468"/>
      <c r="H92" s="468"/>
      <c r="I92" s="468"/>
      <c r="J92" s="468"/>
      <c r="K92" s="468"/>
      <c r="L92" s="468"/>
      <c r="M92" s="468"/>
      <c r="N92" s="468"/>
      <c r="O92" s="468"/>
      <c r="P92" s="468"/>
      <c r="Q92" s="468"/>
      <c r="R92" s="468"/>
      <c r="S92" s="554" t="s">
        <v>1038</v>
      </c>
      <c r="T92" s="554"/>
      <c r="U92" s="554"/>
      <c r="V92" s="554"/>
      <c r="W92" s="554"/>
      <c r="X92" s="554"/>
      <c r="Y92" s="554"/>
      <c r="Z92" s="554"/>
      <c r="AA92" s="554"/>
      <c r="AB92" s="467"/>
    </row>
    <row r="93" spans="1:261" s="472" customFormat="1" ht="20.25" customHeight="1">
      <c r="A93" s="470"/>
      <c r="B93" s="470"/>
      <c r="C93" s="470"/>
      <c r="D93" s="470"/>
      <c r="E93" s="470"/>
      <c r="F93" s="470"/>
      <c r="G93" s="471"/>
      <c r="H93" s="471"/>
      <c r="I93" s="471"/>
      <c r="J93" s="471"/>
      <c r="K93" s="471"/>
      <c r="L93" s="471"/>
      <c r="M93" s="471"/>
      <c r="N93" s="471"/>
      <c r="O93" s="471"/>
      <c r="P93" s="471"/>
      <c r="Q93" s="471"/>
      <c r="R93" s="471"/>
      <c r="S93" s="471"/>
      <c r="T93" s="471"/>
      <c r="U93" s="471"/>
      <c r="V93" s="471"/>
      <c r="W93" s="471"/>
      <c r="X93" s="471"/>
      <c r="Y93" s="471"/>
      <c r="Z93" s="471"/>
      <c r="AA93" s="471"/>
      <c r="AB93" s="471"/>
    </row>
    <row r="94" spans="1:261" s="469" customFormat="1" ht="18.75">
      <c r="A94" s="466"/>
      <c r="B94" s="467"/>
      <c r="C94" s="466"/>
      <c r="D94" s="466"/>
      <c r="E94" s="467"/>
      <c r="F94" s="467"/>
      <c r="G94" s="467"/>
      <c r="H94" s="467"/>
      <c r="I94" s="467"/>
      <c r="J94" s="467"/>
      <c r="K94" s="467"/>
      <c r="L94" s="467"/>
      <c r="M94" s="467"/>
      <c r="N94" s="467"/>
      <c r="O94" s="467"/>
      <c r="P94" s="467"/>
      <c r="Q94" s="467"/>
      <c r="R94" s="467"/>
      <c r="S94" s="467"/>
      <c r="T94" s="467"/>
      <c r="U94" s="467"/>
      <c r="V94" s="467"/>
      <c r="W94" s="467"/>
      <c r="X94" s="467"/>
      <c r="Y94" s="467"/>
      <c r="Z94" s="467"/>
      <c r="AA94" s="467"/>
      <c r="AB94" s="467"/>
    </row>
    <row r="95" spans="1:261" s="469" customFormat="1" ht="18.75">
      <c r="A95" s="466"/>
      <c r="B95" s="467"/>
      <c r="C95" s="466"/>
      <c r="D95" s="466"/>
      <c r="E95" s="467"/>
      <c r="F95" s="467"/>
      <c r="G95" s="467"/>
      <c r="H95" s="467"/>
      <c r="I95" s="467"/>
      <c r="J95" s="467"/>
      <c r="K95" s="467"/>
      <c r="L95" s="467"/>
      <c r="M95" s="467"/>
      <c r="N95" s="467"/>
      <c r="O95" s="467"/>
      <c r="P95" s="467"/>
      <c r="Q95" s="467"/>
      <c r="R95" s="467"/>
      <c r="S95" s="467"/>
      <c r="T95" s="467"/>
      <c r="U95" s="467"/>
      <c r="V95" s="467"/>
      <c r="W95" s="467"/>
      <c r="X95" s="467"/>
      <c r="Y95" s="467"/>
      <c r="Z95" s="467"/>
      <c r="AA95" s="467"/>
      <c r="AB95" s="467"/>
    </row>
    <row r="96" spans="1:261" s="469" customFormat="1" ht="18.75">
      <c r="A96" s="466"/>
      <c r="B96" s="467"/>
      <c r="C96" s="466"/>
      <c r="D96" s="466"/>
      <c r="E96" s="467"/>
      <c r="F96" s="467"/>
      <c r="G96" s="467"/>
      <c r="H96" s="467"/>
      <c r="I96" s="467"/>
      <c r="J96" s="467"/>
      <c r="K96" s="467"/>
      <c r="L96" s="467"/>
      <c r="M96" s="467"/>
      <c r="N96" s="467"/>
      <c r="O96" s="467"/>
      <c r="P96" s="467"/>
      <c r="Q96" s="467"/>
      <c r="R96" s="467"/>
      <c r="S96" s="467"/>
      <c r="T96" s="467"/>
      <c r="U96" s="467"/>
      <c r="V96" s="467"/>
      <c r="W96" s="467"/>
      <c r="X96" s="467"/>
      <c r="Y96" s="467"/>
      <c r="Z96" s="467"/>
      <c r="AA96" s="467"/>
      <c r="AB96" s="467"/>
    </row>
    <row r="97" spans="1:28" s="469" customFormat="1" ht="18.75">
      <c r="A97" s="466"/>
      <c r="B97" s="467"/>
      <c r="C97" s="466"/>
      <c r="D97" s="466"/>
      <c r="E97" s="467"/>
      <c r="F97" s="467"/>
      <c r="G97" s="467"/>
      <c r="H97" s="467"/>
      <c r="I97" s="467"/>
      <c r="J97" s="467"/>
      <c r="K97" s="467"/>
      <c r="L97" s="467"/>
      <c r="M97" s="467"/>
      <c r="N97" s="467"/>
      <c r="O97" s="467"/>
      <c r="P97" s="467"/>
      <c r="Q97" s="467"/>
      <c r="R97" s="467"/>
      <c r="S97" s="467"/>
      <c r="T97" s="467"/>
      <c r="U97" s="467"/>
      <c r="V97" s="467"/>
      <c r="W97" s="467"/>
      <c r="X97" s="467"/>
      <c r="Y97" s="467"/>
      <c r="Z97" s="467"/>
      <c r="AA97" s="467"/>
      <c r="AB97" s="467"/>
    </row>
    <row r="98" spans="1:28" s="469" customFormat="1" ht="18.75">
      <c r="A98" s="466"/>
      <c r="B98" s="467"/>
      <c r="C98" s="466"/>
      <c r="D98" s="466"/>
      <c r="E98" s="467"/>
      <c r="F98" s="467"/>
      <c r="G98" s="467"/>
      <c r="H98" s="467"/>
      <c r="I98" s="467"/>
      <c r="J98" s="467"/>
      <c r="K98" s="467"/>
      <c r="L98" s="467"/>
      <c r="M98" s="467"/>
      <c r="N98" s="467"/>
      <c r="O98" s="467"/>
      <c r="P98" s="467"/>
      <c r="Q98" s="467"/>
      <c r="R98" s="467"/>
      <c r="S98" s="467"/>
      <c r="T98" s="467"/>
      <c r="U98" s="467"/>
      <c r="V98" s="467"/>
      <c r="W98" s="467"/>
      <c r="X98" s="467"/>
      <c r="Y98" s="467"/>
      <c r="Z98" s="467"/>
      <c r="AA98" s="467"/>
      <c r="AB98" s="467"/>
    </row>
    <row r="99" spans="1:28" s="469" customFormat="1" ht="18.75">
      <c r="A99" s="466"/>
      <c r="B99" s="467"/>
      <c r="C99" s="466"/>
      <c r="D99" s="466"/>
      <c r="E99" s="467"/>
      <c r="F99" s="467"/>
      <c r="G99" s="467"/>
      <c r="H99" s="467"/>
      <c r="I99" s="467"/>
      <c r="J99" s="467"/>
      <c r="K99" s="467"/>
      <c r="L99" s="467"/>
      <c r="M99" s="467"/>
      <c r="N99" s="467"/>
      <c r="O99" s="467"/>
      <c r="P99" s="467"/>
      <c r="Q99" s="467"/>
      <c r="R99" s="467"/>
      <c r="S99" s="467"/>
      <c r="T99" s="467"/>
      <c r="U99" s="467"/>
      <c r="V99" s="467"/>
      <c r="W99" s="467"/>
      <c r="X99" s="467"/>
      <c r="Y99" s="467"/>
      <c r="Z99" s="467"/>
      <c r="AA99" s="467"/>
      <c r="AB99" s="467"/>
    </row>
    <row r="100" spans="1:28" s="469" customFormat="1" ht="18.75">
      <c r="A100" s="466"/>
      <c r="B100" s="467"/>
      <c r="C100" s="466"/>
      <c r="D100" s="466"/>
      <c r="E100" s="467"/>
      <c r="F100" s="467"/>
      <c r="G100" s="467"/>
      <c r="H100" s="467"/>
      <c r="I100" s="467"/>
      <c r="J100" s="467"/>
      <c r="K100" s="467"/>
      <c r="L100" s="467"/>
      <c r="M100" s="467"/>
      <c r="N100" s="467"/>
      <c r="O100" s="467"/>
      <c r="P100" s="467"/>
      <c r="Q100" s="467"/>
      <c r="R100" s="467"/>
      <c r="S100" s="467"/>
      <c r="T100" s="467"/>
      <c r="U100" s="467"/>
      <c r="V100" s="467"/>
      <c r="W100" s="467"/>
      <c r="X100" s="467"/>
      <c r="Y100" s="467"/>
      <c r="Z100" s="467"/>
      <c r="AA100" s="467"/>
      <c r="AB100" s="467"/>
    </row>
    <row r="101" spans="1:28" s="471" customFormat="1" ht="18.75">
      <c r="A101" s="555"/>
      <c r="B101" s="555"/>
      <c r="C101" s="555"/>
      <c r="D101" s="555"/>
      <c r="E101" s="555"/>
      <c r="F101" s="555"/>
      <c r="G101" s="554"/>
      <c r="H101" s="554"/>
      <c r="I101" s="554"/>
      <c r="J101" s="554"/>
      <c r="K101" s="554"/>
      <c r="L101" s="554"/>
      <c r="M101" s="554"/>
      <c r="N101" s="554"/>
      <c r="O101" s="554"/>
      <c r="P101" s="554"/>
      <c r="Q101" s="554"/>
      <c r="R101" s="554"/>
      <c r="S101" s="554"/>
      <c r="T101" s="554"/>
      <c r="U101" s="554"/>
      <c r="V101" s="554"/>
      <c r="W101" s="554"/>
      <c r="X101" s="554"/>
      <c r="Y101" s="554"/>
      <c r="Z101" s="554"/>
      <c r="AA101" s="554"/>
    </row>
    <row r="102" spans="1:28" s="469" customFormat="1" ht="18.75">
      <c r="A102" s="466"/>
      <c r="B102" s="467"/>
      <c r="C102" s="466"/>
      <c r="D102" s="466"/>
      <c r="E102" s="467"/>
      <c r="F102" s="467"/>
      <c r="G102" s="467"/>
      <c r="H102" s="467"/>
      <c r="I102" s="467"/>
      <c r="J102" s="467"/>
      <c r="K102" s="467"/>
      <c r="L102" s="467"/>
      <c r="M102" s="467"/>
      <c r="N102" s="467"/>
      <c r="O102" s="467"/>
      <c r="P102" s="467"/>
      <c r="Q102" s="467"/>
      <c r="R102" s="467"/>
      <c r="S102" s="467"/>
      <c r="T102" s="467"/>
      <c r="U102" s="467"/>
      <c r="V102" s="467"/>
      <c r="W102" s="467"/>
      <c r="X102" s="467"/>
      <c r="Y102" s="467"/>
      <c r="Z102" s="467"/>
      <c r="AA102" s="467"/>
      <c r="AB102" s="467"/>
    </row>
    <row r="103" spans="1:28" s="1" customFormat="1" ht="18.75">
      <c r="A103" s="473"/>
      <c r="B103" s="20"/>
      <c r="C103" s="21"/>
      <c r="D103" s="21"/>
      <c r="E103" s="21"/>
      <c r="F103" s="21"/>
      <c r="G103" s="21"/>
      <c r="H103" s="67"/>
      <c r="I103" s="67"/>
      <c r="J103" s="67"/>
      <c r="K103" s="67"/>
      <c r="L103" s="67"/>
      <c r="M103" s="67"/>
      <c r="N103" s="67"/>
      <c r="O103" s="67"/>
      <c r="P103" s="67"/>
      <c r="Q103" s="67"/>
      <c r="R103" s="67"/>
      <c r="S103" s="67"/>
      <c r="T103" s="67"/>
      <c r="U103" s="67"/>
      <c r="V103" s="67"/>
      <c r="W103" s="67"/>
      <c r="X103" s="67"/>
      <c r="Y103" s="67"/>
      <c r="Z103" s="67"/>
      <c r="AA103" s="67"/>
      <c r="AB103" s="20"/>
    </row>
  </sheetData>
  <autoFilter ref="A11:A90"/>
  <mergeCells count="42">
    <mergeCell ref="S92:AA92"/>
    <mergeCell ref="A101:F101"/>
    <mergeCell ref="G101:AA101"/>
    <mergeCell ref="W8:W10"/>
    <mergeCell ref="X8:Y8"/>
    <mergeCell ref="H9:H10"/>
    <mergeCell ref="I9:K9"/>
    <mergeCell ref="Q9:Q10"/>
    <mergeCell ref="R9:R10"/>
    <mergeCell ref="T9:T10"/>
    <mergeCell ref="U9:U10"/>
    <mergeCell ref="X9:X10"/>
    <mergeCell ref="Y9:Y10"/>
    <mergeCell ref="V6:V10"/>
    <mergeCell ref="W6:Y7"/>
    <mergeCell ref="Z6:Z10"/>
    <mergeCell ref="AA6:AA10"/>
    <mergeCell ref="F8:F10"/>
    <mergeCell ref="G8:G10"/>
    <mergeCell ref="H8:K8"/>
    <mergeCell ref="M8:M10"/>
    <mergeCell ref="N8:N10"/>
    <mergeCell ref="P8:P10"/>
    <mergeCell ref="F6:K7"/>
    <mergeCell ref="L6:L10"/>
    <mergeCell ref="M6:N7"/>
    <mergeCell ref="O6:O10"/>
    <mergeCell ref="P6:R7"/>
    <mergeCell ref="S6:U7"/>
    <mergeCell ref="Q8:R8"/>
    <mergeCell ref="S8:S10"/>
    <mergeCell ref="T8:U8"/>
    <mergeCell ref="A1:B1"/>
    <mergeCell ref="A2:B2"/>
    <mergeCell ref="A3:AA3"/>
    <mergeCell ref="A4:AA4"/>
    <mergeCell ref="A5:AA5"/>
    <mergeCell ref="A6:A10"/>
    <mergeCell ref="B6:B10"/>
    <mergeCell ref="C6:C10"/>
    <mergeCell ref="D6:D10"/>
    <mergeCell ref="E6:E10"/>
  </mergeCells>
  <conditionalFormatting sqref="B68">
    <cfRule type="duplicateValues" dxfId="28" priority="11"/>
  </conditionalFormatting>
  <conditionalFormatting sqref="B83 B62 B57">
    <cfRule type="duplicateValues" dxfId="27" priority="12"/>
  </conditionalFormatting>
  <conditionalFormatting sqref="B63">
    <cfRule type="duplicateValues" dxfId="26" priority="10"/>
  </conditionalFormatting>
  <conditionalFormatting sqref="B72">
    <cfRule type="duplicateValues" dxfId="25" priority="9"/>
  </conditionalFormatting>
  <conditionalFormatting sqref="B72">
    <cfRule type="duplicateValues" dxfId="24" priority="8"/>
  </conditionalFormatting>
  <conditionalFormatting sqref="B75">
    <cfRule type="duplicateValues" dxfId="23" priority="7"/>
  </conditionalFormatting>
  <conditionalFormatting sqref="B56">
    <cfRule type="duplicateValues" dxfId="22" priority="6"/>
  </conditionalFormatting>
  <conditionalFormatting sqref="B47">
    <cfRule type="duplicateValues" dxfId="21" priority="4"/>
  </conditionalFormatting>
  <conditionalFormatting sqref="B47">
    <cfRule type="duplicateValues" dxfId="20" priority="5"/>
  </conditionalFormatting>
  <conditionalFormatting sqref="B60">
    <cfRule type="duplicateValues" dxfId="19" priority="2"/>
  </conditionalFormatting>
  <conditionalFormatting sqref="B60">
    <cfRule type="duplicateValues" dxfId="18" priority="3"/>
  </conditionalFormatting>
  <conditionalFormatting sqref="B76">
    <cfRule type="duplicateValues" dxfId="17" priority="1"/>
  </conditionalFormatting>
  <conditionalFormatting sqref="B92:B1048576 B73:B74 B86:B88 B1:B42 B58:B59 B46 B48:B55 B67 B77:B82 B61 B69:B71 B64:B65">
    <cfRule type="duplicateValues" dxfId="16" priority="13"/>
  </conditionalFormatting>
  <conditionalFormatting sqref="B92:B1048576 B73:B74 B1:B46 B48:B55 B57:B59 B61:B62 B64:B71 B76:B90">
    <cfRule type="duplicateValues" dxfId="15" priority="14"/>
  </conditionalFormatting>
  <pageMargins left="0.65" right="0.23622047244094491" top="0.51181102362204722" bottom="0.51181102362204722" header="0.35433070866141736" footer="3.937007874015748E-2"/>
  <pageSetup paperSize="9" scale="68" orientation="landscape" r:id="rId1"/>
  <headerFooter>
    <oddHeader>&amp;C&amp;P</oddHeader>
  </headerFooter>
  <rowBreaks count="1" manualBreakCount="1">
    <brk id="40" max="26"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sheetPr>
  <dimension ref="A1:S72"/>
  <sheetViews>
    <sheetView view="pageBreakPreview" topLeftCell="A3" zoomScale="40" zoomScaleNormal="109" zoomScaleSheetLayoutView="40" workbookViewId="0">
      <selection activeCell="R13" sqref="R13"/>
    </sheetView>
  </sheetViews>
  <sheetFormatPr defaultColWidth="8.85546875" defaultRowHeight="15.75"/>
  <cols>
    <col min="1" max="1" width="6.140625" style="474" customWidth="1"/>
    <col min="2" max="2" width="38.140625" style="474" customWidth="1"/>
    <col min="3" max="3" width="11.85546875" style="475" customWidth="1"/>
    <col min="4" max="4" width="45.5703125" style="475" hidden="1" customWidth="1"/>
    <col min="5" max="5" width="10.42578125" style="474" customWidth="1"/>
    <col min="6" max="6" width="7.85546875" style="474" customWidth="1"/>
    <col min="7" max="7" width="9.140625" style="474" customWidth="1"/>
    <col min="8" max="8" width="8.42578125" style="474" customWidth="1"/>
    <col min="9" max="9" width="9.42578125" style="474" customWidth="1"/>
    <col min="10" max="10" width="6.140625" style="474" customWidth="1"/>
    <col min="11" max="11" width="8.5703125" style="474" hidden="1" customWidth="1"/>
    <col min="12" max="12" width="8.140625" style="474" hidden="1" customWidth="1"/>
    <col min="13" max="13" width="10" style="474" customWidth="1"/>
    <col min="14" max="14" width="9.42578125" style="474" customWidth="1"/>
    <col min="15" max="15" width="8.85546875" style="474"/>
    <col min="16" max="16" width="0" style="474" hidden="1" customWidth="1"/>
    <col min="17" max="17" width="12.5703125" style="474" customWidth="1"/>
    <col min="18" max="18" width="8.85546875" style="474"/>
    <col min="19" max="20" width="15.5703125" style="474" bestFit="1" customWidth="1"/>
    <col min="21" max="21" width="12.5703125" style="474" bestFit="1" customWidth="1"/>
    <col min="22" max="22" width="10.42578125" style="474" bestFit="1" customWidth="1"/>
    <col min="23" max="229" width="8.85546875" style="474"/>
    <col min="230" max="230" width="38.140625" style="474" customWidth="1"/>
    <col min="231" max="231" width="11.85546875" style="474" customWidth="1"/>
    <col min="232" max="232" width="45.5703125" style="474" customWidth="1"/>
    <col min="233" max="233" width="8.85546875" style="474"/>
    <col min="234" max="234" width="13.140625" style="474" customWidth="1"/>
    <col min="235" max="235" width="8.85546875" style="474"/>
    <col min="236" max="236" width="11.85546875" style="474" customWidth="1"/>
    <col min="237" max="237" width="10.5703125" style="474" customWidth="1"/>
    <col min="238" max="238" width="11.42578125" style="474" customWidth="1"/>
    <col min="239" max="239" width="8.85546875" style="474"/>
    <col min="240" max="240" width="10.42578125" style="474" customWidth="1"/>
    <col min="241" max="241" width="10.85546875" style="474" customWidth="1"/>
    <col min="242" max="242" width="11.42578125" style="474" customWidth="1"/>
    <col min="243" max="243" width="12" style="474" customWidth="1"/>
    <col min="244" max="244" width="11.85546875" style="474" customWidth="1"/>
    <col min="245" max="245" width="8.5703125" style="474" customWidth="1"/>
    <col min="246" max="246" width="11.42578125" style="474" customWidth="1"/>
    <col min="247" max="247" width="11" style="474" customWidth="1"/>
    <col min="248" max="248" width="11.5703125" style="474" customWidth="1"/>
    <col min="249" max="249" width="8.85546875" style="474"/>
    <col min="250" max="250" width="11.140625" style="474" customWidth="1"/>
    <col min="251" max="485" width="8.85546875" style="474"/>
    <col min="486" max="486" width="38.140625" style="474" customWidth="1"/>
    <col min="487" max="487" width="11.85546875" style="474" customWidth="1"/>
    <col min="488" max="488" width="45.5703125" style="474" customWidth="1"/>
    <col min="489" max="489" width="8.85546875" style="474"/>
    <col min="490" max="490" width="13.140625" style="474" customWidth="1"/>
    <col min="491" max="491" width="8.85546875" style="474"/>
    <col min="492" max="492" width="11.85546875" style="474" customWidth="1"/>
    <col min="493" max="493" width="10.5703125" style="474" customWidth="1"/>
    <col min="494" max="494" width="11.42578125" style="474" customWidth="1"/>
    <col min="495" max="495" width="8.85546875" style="474"/>
    <col min="496" max="496" width="10.42578125" style="474" customWidth="1"/>
    <col min="497" max="497" width="10.85546875" style="474" customWidth="1"/>
    <col min="498" max="498" width="11.42578125" style="474" customWidth="1"/>
    <col min="499" max="499" width="12" style="474" customWidth="1"/>
    <col min="500" max="500" width="11.85546875" style="474" customWidth="1"/>
    <col min="501" max="501" width="8.5703125" style="474" customWidth="1"/>
    <col min="502" max="502" width="11.42578125" style="474" customWidth="1"/>
    <col min="503" max="503" width="11" style="474" customWidth="1"/>
    <col min="504" max="504" width="11.5703125" style="474" customWidth="1"/>
    <col min="505" max="505" width="8.85546875" style="474"/>
    <col min="506" max="506" width="11.140625" style="474" customWidth="1"/>
    <col min="507" max="741" width="8.85546875" style="474"/>
    <col min="742" max="742" width="38.140625" style="474" customWidth="1"/>
    <col min="743" max="743" width="11.85546875" style="474" customWidth="1"/>
    <col min="744" max="744" width="45.5703125" style="474" customWidth="1"/>
    <col min="745" max="745" width="8.85546875" style="474"/>
    <col min="746" max="746" width="13.140625" style="474" customWidth="1"/>
    <col min="747" max="747" width="8.85546875" style="474"/>
    <col min="748" max="748" width="11.85546875" style="474" customWidth="1"/>
    <col min="749" max="749" width="10.5703125" style="474" customWidth="1"/>
    <col min="750" max="750" width="11.42578125" style="474" customWidth="1"/>
    <col min="751" max="751" width="8.85546875" style="474"/>
    <col min="752" max="752" width="10.42578125" style="474" customWidth="1"/>
    <col min="753" max="753" width="10.85546875" style="474" customWidth="1"/>
    <col min="754" max="754" width="11.42578125" style="474" customWidth="1"/>
    <col min="755" max="755" width="12" style="474" customWidth="1"/>
    <col min="756" max="756" width="11.85546875" style="474" customWidth="1"/>
    <col min="757" max="757" width="8.5703125" style="474" customWidth="1"/>
    <col min="758" max="758" width="11.42578125" style="474" customWidth="1"/>
    <col min="759" max="759" width="11" style="474" customWidth="1"/>
    <col min="760" max="760" width="11.5703125" style="474" customWidth="1"/>
    <col min="761" max="761" width="8.85546875" style="474"/>
    <col min="762" max="762" width="11.140625" style="474" customWidth="1"/>
    <col min="763" max="997" width="8.85546875" style="474"/>
    <col min="998" max="998" width="38.140625" style="474" customWidth="1"/>
    <col min="999" max="999" width="11.85546875" style="474" customWidth="1"/>
    <col min="1000" max="1000" width="45.5703125" style="474" customWidth="1"/>
    <col min="1001" max="1001" width="8.85546875" style="474"/>
    <col min="1002" max="1002" width="13.140625" style="474" customWidth="1"/>
    <col min="1003" max="1003" width="8.85546875" style="474"/>
    <col min="1004" max="1004" width="11.85546875" style="474" customWidth="1"/>
    <col min="1005" max="1005" width="10.5703125" style="474" customWidth="1"/>
    <col min="1006" max="1006" width="11.42578125" style="474" customWidth="1"/>
    <col min="1007" max="1007" width="8.85546875" style="474"/>
    <col min="1008" max="1008" width="10.42578125" style="474" customWidth="1"/>
    <col min="1009" max="1009" width="10.85546875" style="474" customWidth="1"/>
    <col min="1010" max="1010" width="11.42578125" style="474" customWidth="1"/>
    <col min="1011" max="1011" width="12" style="474" customWidth="1"/>
    <col min="1012" max="1012" width="11.85546875" style="474" customWidth="1"/>
    <col min="1013" max="1013" width="8.5703125" style="474" customWidth="1"/>
    <col min="1014" max="1014" width="11.42578125" style="474" customWidth="1"/>
    <col min="1015" max="1015" width="11" style="474" customWidth="1"/>
    <col min="1016" max="1016" width="11.5703125" style="474" customWidth="1"/>
    <col min="1017" max="1017" width="8.85546875" style="474"/>
    <col min="1018" max="1018" width="11.140625" style="474" customWidth="1"/>
    <col min="1019" max="1253" width="8.85546875" style="474"/>
    <col min="1254" max="1254" width="38.140625" style="474" customWidth="1"/>
    <col min="1255" max="1255" width="11.85546875" style="474" customWidth="1"/>
    <col min="1256" max="1256" width="45.5703125" style="474" customWidth="1"/>
    <col min="1257" max="1257" width="8.85546875" style="474"/>
    <col min="1258" max="1258" width="13.140625" style="474" customWidth="1"/>
    <col min="1259" max="1259" width="8.85546875" style="474"/>
    <col min="1260" max="1260" width="11.85546875" style="474" customWidth="1"/>
    <col min="1261" max="1261" width="10.5703125" style="474" customWidth="1"/>
    <col min="1262" max="1262" width="11.42578125" style="474" customWidth="1"/>
    <col min="1263" max="1263" width="8.85546875" style="474"/>
    <col min="1264" max="1264" width="10.42578125" style="474" customWidth="1"/>
    <col min="1265" max="1265" width="10.85546875" style="474" customWidth="1"/>
    <col min="1266" max="1266" width="11.42578125" style="474" customWidth="1"/>
    <col min="1267" max="1267" width="12" style="474" customWidth="1"/>
    <col min="1268" max="1268" width="11.85546875" style="474" customWidth="1"/>
    <col min="1269" max="1269" width="8.5703125" style="474" customWidth="1"/>
    <col min="1270" max="1270" width="11.42578125" style="474" customWidth="1"/>
    <col min="1271" max="1271" width="11" style="474" customWidth="1"/>
    <col min="1272" max="1272" width="11.5703125" style="474" customWidth="1"/>
    <col min="1273" max="1273" width="8.85546875" style="474"/>
    <col min="1274" max="1274" width="11.140625" style="474" customWidth="1"/>
    <col min="1275" max="1509" width="8.85546875" style="474"/>
    <col min="1510" max="1510" width="38.140625" style="474" customWidth="1"/>
    <col min="1511" max="1511" width="11.85546875" style="474" customWidth="1"/>
    <col min="1512" max="1512" width="45.5703125" style="474" customWidth="1"/>
    <col min="1513" max="1513" width="8.85546875" style="474"/>
    <col min="1514" max="1514" width="13.140625" style="474" customWidth="1"/>
    <col min="1515" max="1515" width="8.85546875" style="474"/>
    <col min="1516" max="1516" width="11.85546875" style="474" customWidth="1"/>
    <col min="1517" max="1517" width="10.5703125" style="474" customWidth="1"/>
    <col min="1518" max="1518" width="11.42578125" style="474" customWidth="1"/>
    <col min="1519" max="1519" width="8.85546875" style="474"/>
    <col min="1520" max="1520" width="10.42578125" style="474" customWidth="1"/>
    <col min="1521" max="1521" width="10.85546875" style="474" customWidth="1"/>
    <col min="1522" max="1522" width="11.42578125" style="474" customWidth="1"/>
    <col min="1523" max="1523" width="12" style="474" customWidth="1"/>
    <col min="1524" max="1524" width="11.85546875" style="474" customWidth="1"/>
    <col min="1525" max="1525" width="8.5703125" style="474" customWidth="1"/>
    <col min="1526" max="1526" width="11.42578125" style="474" customWidth="1"/>
    <col min="1527" max="1527" width="11" style="474" customWidth="1"/>
    <col min="1528" max="1528" width="11.5703125" style="474" customWidth="1"/>
    <col min="1529" max="1529" width="8.85546875" style="474"/>
    <col min="1530" max="1530" width="11.140625" style="474" customWidth="1"/>
    <col min="1531" max="1765" width="8.85546875" style="474"/>
    <col min="1766" max="1766" width="38.140625" style="474" customWidth="1"/>
    <col min="1767" max="1767" width="11.85546875" style="474" customWidth="1"/>
    <col min="1768" max="1768" width="45.5703125" style="474" customWidth="1"/>
    <col min="1769" max="1769" width="8.85546875" style="474"/>
    <col min="1770" max="1770" width="13.140625" style="474" customWidth="1"/>
    <col min="1771" max="1771" width="8.85546875" style="474"/>
    <col min="1772" max="1772" width="11.85546875" style="474" customWidth="1"/>
    <col min="1773" max="1773" width="10.5703125" style="474" customWidth="1"/>
    <col min="1774" max="1774" width="11.42578125" style="474" customWidth="1"/>
    <col min="1775" max="1775" width="8.85546875" style="474"/>
    <col min="1776" max="1776" width="10.42578125" style="474" customWidth="1"/>
    <col min="1777" max="1777" width="10.85546875" style="474" customWidth="1"/>
    <col min="1778" max="1778" width="11.42578125" style="474" customWidth="1"/>
    <col min="1779" max="1779" width="12" style="474" customWidth="1"/>
    <col min="1780" max="1780" width="11.85546875" style="474" customWidth="1"/>
    <col min="1781" max="1781" width="8.5703125" style="474" customWidth="1"/>
    <col min="1782" max="1782" width="11.42578125" style="474" customWidth="1"/>
    <col min="1783" max="1783" width="11" style="474" customWidth="1"/>
    <col min="1784" max="1784" width="11.5703125" style="474" customWidth="1"/>
    <col min="1785" max="1785" width="8.85546875" style="474"/>
    <col min="1786" max="1786" width="11.140625" style="474" customWidth="1"/>
    <col min="1787" max="2021" width="8.85546875" style="474"/>
    <col min="2022" max="2022" width="38.140625" style="474" customWidth="1"/>
    <col min="2023" max="2023" width="11.85546875" style="474" customWidth="1"/>
    <col min="2024" max="2024" width="45.5703125" style="474" customWidth="1"/>
    <col min="2025" max="2025" width="8.85546875" style="474"/>
    <col min="2026" max="2026" width="13.140625" style="474" customWidth="1"/>
    <col min="2027" max="2027" width="8.85546875" style="474"/>
    <col min="2028" max="2028" width="11.85546875" style="474" customWidth="1"/>
    <col min="2029" max="2029" width="10.5703125" style="474" customWidth="1"/>
    <col min="2030" max="2030" width="11.42578125" style="474" customWidth="1"/>
    <col min="2031" max="2031" width="8.85546875" style="474"/>
    <col min="2032" max="2032" width="10.42578125" style="474" customWidth="1"/>
    <col min="2033" max="2033" width="10.85546875" style="474" customWidth="1"/>
    <col min="2034" max="2034" width="11.42578125" style="474" customWidth="1"/>
    <col min="2035" max="2035" width="12" style="474" customWidth="1"/>
    <col min="2036" max="2036" width="11.85546875" style="474" customWidth="1"/>
    <col min="2037" max="2037" width="8.5703125" style="474" customWidth="1"/>
    <col min="2038" max="2038" width="11.42578125" style="474" customWidth="1"/>
    <col min="2039" max="2039" width="11" style="474" customWidth="1"/>
    <col min="2040" max="2040" width="11.5703125" style="474" customWidth="1"/>
    <col min="2041" max="2041" width="8.85546875" style="474"/>
    <col min="2042" max="2042" width="11.140625" style="474" customWidth="1"/>
    <col min="2043" max="2277" width="8.85546875" style="474"/>
    <col min="2278" max="2278" width="38.140625" style="474" customWidth="1"/>
    <col min="2279" max="2279" width="11.85546875" style="474" customWidth="1"/>
    <col min="2280" max="2280" width="45.5703125" style="474" customWidth="1"/>
    <col min="2281" max="2281" width="8.85546875" style="474"/>
    <col min="2282" max="2282" width="13.140625" style="474" customWidth="1"/>
    <col min="2283" max="2283" width="8.85546875" style="474"/>
    <col min="2284" max="2284" width="11.85546875" style="474" customWidth="1"/>
    <col min="2285" max="2285" width="10.5703125" style="474" customWidth="1"/>
    <col min="2286" max="2286" width="11.42578125" style="474" customWidth="1"/>
    <col min="2287" max="2287" width="8.85546875" style="474"/>
    <col min="2288" max="2288" width="10.42578125" style="474" customWidth="1"/>
    <col min="2289" max="2289" width="10.85546875" style="474" customWidth="1"/>
    <col min="2290" max="2290" width="11.42578125" style="474" customWidth="1"/>
    <col min="2291" max="2291" width="12" style="474" customWidth="1"/>
    <col min="2292" max="2292" width="11.85546875" style="474" customWidth="1"/>
    <col min="2293" max="2293" width="8.5703125" style="474" customWidth="1"/>
    <col min="2294" max="2294" width="11.42578125" style="474" customWidth="1"/>
    <col min="2295" max="2295" width="11" style="474" customWidth="1"/>
    <col min="2296" max="2296" width="11.5703125" style="474" customWidth="1"/>
    <col min="2297" max="2297" width="8.85546875" style="474"/>
    <col min="2298" max="2298" width="11.140625" style="474" customWidth="1"/>
    <col min="2299" max="2533" width="8.85546875" style="474"/>
    <col min="2534" max="2534" width="38.140625" style="474" customWidth="1"/>
    <col min="2535" max="2535" width="11.85546875" style="474" customWidth="1"/>
    <col min="2536" max="2536" width="45.5703125" style="474" customWidth="1"/>
    <col min="2537" max="2537" width="8.85546875" style="474"/>
    <col min="2538" max="2538" width="13.140625" style="474" customWidth="1"/>
    <col min="2539" max="2539" width="8.85546875" style="474"/>
    <col min="2540" max="2540" width="11.85546875" style="474" customWidth="1"/>
    <col min="2541" max="2541" width="10.5703125" style="474" customWidth="1"/>
    <col min="2542" max="2542" width="11.42578125" style="474" customWidth="1"/>
    <col min="2543" max="2543" width="8.85546875" style="474"/>
    <col min="2544" max="2544" width="10.42578125" style="474" customWidth="1"/>
    <col min="2545" max="2545" width="10.85546875" style="474" customWidth="1"/>
    <col min="2546" max="2546" width="11.42578125" style="474" customWidth="1"/>
    <col min="2547" max="2547" width="12" style="474" customWidth="1"/>
    <col min="2548" max="2548" width="11.85546875" style="474" customWidth="1"/>
    <col min="2549" max="2549" width="8.5703125" style="474" customWidth="1"/>
    <col min="2550" max="2550" width="11.42578125" style="474" customWidth="1"/>
    <col min="2551" max="2551" width="11" style="474" customWidth="1"/>
    <col min="2552" max="2552" width="11.5703125" style="474" customWidth="1"/>
    <col min="2553" max="2553" width="8.85546875" style="474"/>
    <col min="2554" max="2554" width="11.140625" style="474" customWidth="1"/>
    <col min="2555" max="2789" width="8.85546875" style="474"/>
    <col min="2790" max="2790" width="38.140625" style="474" customWidth="1"/>
    <col min="2791" max="2791" width="11.85546875" style="474" customWidth="1"/>
    <col min="2792" max="2792" width="45.5703125" style="474" customWidth="1"/>
    <col min="2793" max="2793" width="8.85546875" style="474"/>
    <col min="2794" max="2794" width="13.140625" style="474" customWidth="1"/>
    <col min="2795" max="2795" width="8.85546875" style="474"/>
    <col min="2796" max="2796" width="11.85546875" style="474" customWidth="1"/>
    <col min="2797" max="2797" width="10.5703125" style="474" customWidth="1"/>
    <col min="2798" max="2798" width="11.42578125" style="474" customWidth="1"/>
    <col min="2799" max="2799" width="8.85546875" style="474"/>
    <col min="2800" max="2800" width="10.42578125" style="474" customWidth="1"/>
    <col min="2801" max="2801" width="10.85546875" style="474" customWidth="1"/>
    <col min="2802" max="2802" width="11.42578125" style="474" customWidth="1"/>
    <col min="2803" max="2803" width="12" style="474" customWidth="1"/>
    <col min="2804" max="2804" width="11.85546875" style="474" customWidth="1"/>
    <col min="2805" max="2805" width="8.5703125" style="474" customWidth="1"/>
    <col min="2806" max="2806" width="11.42578125" style="474" customWidth="1"/>
    <col min="2807" max="2807" width="11" style="474" customWidth="1"/>
    <col min="2808" max="2808" width="11.5703125" style="474" customWidth="1"/>
    <col min="2809" max="2809" width="8.85546875" style="474"/>
    <col min="2810" max="2810" width="11.140625" style="474" customWidth="1"/>
    <col min="2811" max="3045" width="8.85546875" style="474"/>
    <col min="3046" max="3046" width="38.140625" style="474" customWidth="1"/>
    <col min="3047" max="3047" width="11.85546875" style="474" customWidth="1"/>
    <col min="3048" max="3048" width="45.5703125" style="474" customWidth="1"/>
    <col min="3049" max="3049" width="8.85546875" style="474"/>
    <col min="3050" max="3050" width="13.140625" style="474" customWidth="1"/>
    <col min="3051" max="3051" width="8.85546875" style="474"/>
    <col min="3052" max="3052" width="11.85546875" style="474" customWidth="1"/>
    <col min="3053" max="3053" width="10.5703125" style="474" customWidth="1"/>
    <col min="3054" max="3054" width="11.42578125" style="474" customWidth="1"/>
    <col min="3055" max="3055" width="8.85546875" style="474"/>
    <col min="3056" max="3056" width="10.42578125" style="474" customWidth="1"/>
    <col min="3057" max="3057" width="10.85546875" style="474" customWidth="1"/>
    <col min="3058" max="3058" width="11.42578125" style="474" customWidth="1"/>
    <col min="3059" max="3059" width="12" style="474" customWidth="1"/>
    <col min="3060" max="3060" width="11.85546875" style="474" customWidth="1"/>
    <col min="3061" max="3061" width="8.5703125" style="474" customWidth="1"/>
    <col min="3062" max="3062" width="11.42578125" style="474" customWidth="1"/>
    <col min="3063" max="3063" width="11" style="474" customWidth="1"/>
    <col min="3064" max="3064" width="11.5703125" style="474" customWidth="1"/>
    <col min="3065" max="3065" width="8.85546875" style="474"/>
    <col min="3066" max="3066" width="11.140625" style="474" customWidth="1"/>
    <col min="3067" max="3301" width="8.85546875" style="474"/>
    <col min="3302" max="3302" width="38.140625" style="474" customWidth="1"/>
    <col min="3303" max="3303" width="11.85546875" style="474" customWidth="1"/>
    <col min="3304" max="3304" width="45.5703125" style="474" customWidth="1"/>
    <col min="3305" max="3305" width="8.85546875" style="474"/>
    <col min="3306" max="3306" width="13.140625" style="474" customWidth="1"/>
    <col min="3307" max="3307" width="8.85546875" style="474"/>
    <col min="3308" max="3308" width="11.85546875" style="474" customWidth="1"/>
    <col min="3309" max="3309" width="10.5703125" style="474" customWidth="1"/>
    <col min="3310" max="3310" width="11.42578125" style="474" customWidth="1"/>
    <col min="3311" max="3311" width="8.85546875" style="474"/>
    <col min="3312" max="3312" width="10.42578125" style="474" customWidth="1"/>
    <col min="3313" max="3313" width="10.85546875" style="474" customWidth="1"/>
    <col min="3314" max="3314" width="11.42578125" style="474" customWidth="1"/>
    <col min="3315" max="3315" width="12" style="474" customWidth="1"/>
    <col min="3316" max="3316" width="11.85546875" style="474" customWidth="1"/>
    <col min="3317" max="3317" width="8.5703125" style="474" customWidth="1"/>
    <col min="3318" max="3318" width="11.42578125" style="474" customWidth="1"/>
    <col min="3319" max="3319" width="11" style="474" customWidth="1"/>
    <col min="3320" max="3320" width="11.5703125" style="474" customWidth="1"/>
    <col min="3321" max="3321" width="8.85546875" style="474"/>
    <col min="3322" max="3322" width="11.140625" style="474" customWidth="1"/>
    <col min="3323" max="3557" width="8.85546875" style="474"/>
    <col min="3558" max="3558" width="38.140625" style="474" customWidth="1"/>
    <col min="3559" max="3559" width="11.85546875" style="474" customWidth="1"/>
    <col min="3560" max="3560" width="45.5703125" style="474" customWidth="1"/>
    <col min="3561" max="3561" width="8.85546875" style="474"/>
    <col min="3562" max="3562" width="13.140625" style="474" customWidth="1"/>
    <col min="3563" max="3563" width="8.85546875" style="474"/>
    <col min="3564" max="3564" width="11.85546875" style="474" customWidth="1"/>
    <col min="3565" max="3565" width="10.5703125" style="474" customWidth="1"/>
    <col min="3566" max="3566" width="11.42578125" style="474" customWidth="1"/>
    <col min="3567" max="3567" width="8.85546875" style="474"/>
    <col min="3568" max="3568" width="10.42578125" style="474" customWidth="1"/>
    <col min="3569" max="3569" width="10.85546875" style="474" customWidth="1"/>
    <col min="3570" max="3570" width="11.42578125" style="474" customWidth="1"/>
    <col min="3571" max="3571" width="12" style="474" customWidth="1"/>
    <col min="3572" max="3572" width="11.85546875" style="474" customWidth="1"/>
    <col min="3573" max="3573" width="8.5703125" style="474" customWidth="1"/>
    <col min="3574" max="3574" width="11.42578125" style="474" customWidth="1"/>
    <col min="3575" max="3575" width="11" style="474" customWidth="1"/>
    <col min="3576" max="3576" width="11.5703125" style="474" customWidth="1"/>
    <col min="3577" max="3577" width="8.85546875" style="474"/>
    <col min="3578" max="3578" width="11.140625" style="474" customWidth="1"/>
    <col min="3579" max="3813" width="8.85546875" style="474"/>
    <col min="3814" max="3814" width="38.140625" style="474" customWidth="1"/>
    <col min="3815" max="3815" width="11.85546875" style="474" customWidth="1"/>
    <col min="3816" max="3816" width="45.5703125" style="474" customWidth="1"/>
    <col min="3817" max="3817" width="8.85546875" style="474"/>
    <col min="3818" max="3818" width="13.140625" style="474" customWidth="1"/>
    <col min="3819" max="3819" width="8.85546875" style="474"/>
    <col min="3820" max="3820" width="11.85546875" style="474" customWidth="1"/>
    <col min="3821" max="3821" width="10.5703125" style="474" customWidth="1"/>
    <col min="3822" max="3822" width="11.42578125" style="474" customWidth="1"/>
    <col min="3823" max="3823" width="8.85546875" style="474"/>
    <col min="3824" max="3824" width="10.42578125" style="474" customWidth="1"/>
    <col min="3825" max="3825" width="10.85546875" style="474" customWidth="1"/>
    <col min="3826" max="3826" width="11.42578125" style="474" customWidth="1"/>
    <col min="3827" max="3827" width="12" style="474" customWidth="1"/>
    <col min="3828" max="3828" width="11.85546875" style="474" customWidth="1"/>
    <col min="3829" max="3829" width="8.5703125" style="474" customWidth="1"/>
    <col min="3830" max="3830" width="11.42578125" style="474" customWidth="1"/>
    <col min="3831" max="3831" width="11" style="474" customWidth="1"/>
    <col min="3832" max="3832" width="11.5703125" style="474" customWidth="1"/>
    <col min="3833" max="3833" width="8.85546875" style="474"/>
    <col min="3834" max="3834" width="11.140625" style="474" customWidth="1"/>
    <col min="3835" max="4069" width="8.85546875" style="474"/>
    <col min="4070" max="4070" width="38.140625" style="474" customWidth="1"/>
    <col min="4071" max="4071" width="11.85546875" style="474" customWidth="1"/>
    <col min="4072" max="4072" width="45.5703125" style="474" customWidth="1"/>
    <col min="4073" max="4073" width="8.85546875" style="474"/>
    <col min="4074" max="4074" width="13.140625" style="474" customWidth="1"/>
    <col min="4075" max="4075" width="8.85546875" style="474"/>
    <col min="4076" max="4076" width="11.85546875" style="474" customWidth="1"/>
    <col min="4077" max="4077" width="10.5703125" style="474" customWidth="1"/>
    <col min="4078" max="4078" width="11.42578125" style="474" customWidth="1"/>
    <col min="4079" max="4079" width="8.85546875" style="474"/>
    <col min="4080" max="4080" width="10.42578125" style="474" customWidth="1"/>
    <col min="4081" max="4081" width="10.85546875" style="474" customWidth="1"/>
    <col min="4082" max="4082" width="11.42578125" style="474" customWidth="1"/>
    <col min="4083" max="4083" width="12" style="474" customWidth="1"/>
    <col min="4084" max="4084" width="11.85546875" style="474" customWidth="1"/>
    <col min="4085" max="4085" width="8.5703125" style="474" customWidth="1"/>
    <col min="4086" max="4086" width="11.42578125" style="474" customWidth="1"/>
    <col min="4087" max="4087" width="11" style="474" customWidth="1"/>
    <col min="4088" max="4088" width="11.5703125" style="474" customWidth="1"/>
    <col min="4089" max="4089" width="8.85546875" style="474"/>
    <col min="4090" max="4090" width="11.140625" style="474" customWidth="1"/>
    <col min="4091" max="4325" width="8.85546875" style="474"/>
    <col min="4326" max="4326" width="38.140625" style="474" customWidth="1"/>
    <col min="4327" max="4327" width="11.85546875" style="474" customWidth="1"/>
    <col min="4328" max="4328" width="45.5703125" style="474" customWidth="1"/>
    <col min="4329" max="4329" width="8.85546875" style="474"/>
    <col min="4330" max="4330" width="13.140625" style="474" customWidth="1"/>
    <col min="4331" max="4331" width="8.85546875" style="474"/>
    <col min="4332" max="4332" width="11.85546875" style="474" customWidth="1"/>
    <col min="4333" max="4333" width="10.5703125" style="474" customWidth="1"/>
    <col min="4334" max="4334" width="11.42578125" style="474" customWidth="1"/>
    <col min="4335" max="4335" width="8.85546875" style="474"/>
    <col min="4336" max="4336" width="10.42578125" style="474" customWidth="1"/>
    <col min="4337" max="4337" width="10.85546875" style="474" customWidth="1"/>
    <col min="4338" max="4338" width="11.42578125" style="474" customWidth="1"/>
    <col min="4339" max="4339" width="12" style="474" customWidth="1"/>
    <col min="4340" max="4340" width="11.85546875" style="474" customWidth="1"/>
    <col min="4341" max="4341" width="8.5703125" style="474" customWidth="1"/>
    <col min="4342" max="4342" width="11.42578125" style="474" customWidth="1"/>
    <col min="4343" max="4343" width="11" style="474" customWidth="1"/>
    <col min="4344" max="4344" width="11.5703125" style="474" customWidth="1"/>
    <col min="4345" max="4345" width="8.85546875" style="474"/>
    <col min="4346" max="4346" width="11.140625" style="474" customWidth="1"/>
    <col min="4347" max="4581" width="8.85546875" style="474"/>
    <col min="4582" max="4582" width="38.140625" style="474" customWidth="1"/>
    <col min="4583" max="4583" width="11.85546875" style="474" customWidth="1"/>
    <col min="4584" max="4584" width="45.5703125" style="474" customWidth="1"/>
    <col min="4585" max="4585" width="8.85546875" style="474"/>
    <col min="4586" max="4586" width="13.140625" style="474" customWidth="1"/>
    <col min="4587" max="4587" width="8.85546875" style="474"/>
    <col min="4588" max="4588" width="11.85546875" style="474" customWidth="1"/>
    <col min="4589" max="4589" width="10.5703125" style="474" customWidth="1"/>
    <col min="4590" max="4590" width="11.42578125" style="474" customWidth="1"/>
    <col min="4591" max="4591" width="8.85546875" style="474"/>
    <col min="4592" max="4592" width="10.42578125" style="474" customWidth="1"/>
    <col min="4593" max="4593" width="10.85546875" style="474" customWidth="1"/>
    <col min="4594" max="4594" width="11.42578125" style="474" customWidth="1"/>
    <col min="4595" max="4595" width="12" style="474" customWidth="1"/>
    <col min="4596" max="4596" width="11.85546875" style="474" customWidth="1"/>
    <col min="4597" max="4597" width="8.5703125" style="474" customWidth="1"/>
    <col min="4598" max="4598" width="11.42578125" style="474" customWidth="1"/>
    <col min="4599" max="4599" width="11" style="474" customWidth="1"/>
    <col min="4600" max="4600" width="11.5703125" style="474" customWidth="1"/>
    <col min="4601" max="4601" width="8.85546875" style="474"/>
    <col min="4602" max="4602" width="11.140625" style="474" customWidth="1"/>
    <col min="4603" max="4837" width="8.85546875" style="474"/>
    <col min="4838" max="4838" width="38.140625" style="474" customWidth="1"/>
    <col min="4839" max="4839" width="11.85546875" style="474" customWidth="1"/>
    <col min="4840" max="4840" width="45.5703125" style="474" customWidth="1"/>
    <col min="4841" max="4841" width="8.85546875" style="474"/>
    <col min="4842" max="4842" width="13.140625" style="474" customWidth="1"/>
    <col min="4843" max="4843" width="8.85546875" style="474"/>
    <col min="4844" max="4844" width="11.85546875" style="474" customWidth="1"/>
    <col min="4845" max="4845" width="10.5703125" style="474" customWidth="1"/>
    <col min="4846" max="4846" width="11.42578125" style="474" customWidth="1"/>
    <col min="4847" max="4847" width="8.85546875" style="474"/>
    <col min="4848" max="4848" width="10.42578125" style="474" customWidth="1"/>
    <col min="4849" max="4849" width="10.85546875" style="474" customWidth="1"/>
    <col min="4850" max="4850" width="11.42578125" style="474" customWidth="1"/>
    <col min="4851" max="4851" width="12" style="474" customWidth="1"/>
    <col min="4852" max="4852" width="11.85546875" style="474" customWidth="1"/>
    <col min="4853" max="4853" width="8.5703125" style="474" customWidth="1"/>
    <col min="4854" max="4854" width="11.42578125" style="474" customWidth="1"/>
    <col min="4855" max="4855" width="11" style="474" customWidth="1"/>
    <col min="4856" max="4856" width="11.5703125" style="474" customWidth="1"/>
    <col min="4857" max="4857" width="8.85546875" style="474"/>
    <col min="4858" max="4858" width="11.140625" style="474" customWidth="1"/>
    <col min="4859" max="5093" width="8.85546875" style="474"/>
    <col min="5094" max="5094" width="38.140625" style="474" customWidth="1"/>
    <col min="5095" max="5095" width="11.85546875" style="474" customWidth="1"/>
    <col min="5096" max="5096" width="45.5703125" style="474" customWidth="1"/>
    <col min="5097" max="5097" width="8.85546875" style="474"/>
    <col min="5098" max="5098" width="13.140625" style="474" customWidth="1"/>
    <col min="5099" max="5099" width="8.85546875" style="474"/>
    <col min="5100" max="5100" width="11.85546875" style="474" customWidth="1"/>
    <col min="5101" max="5101" width="10.5703125" style="474" customWidth="1"/>
    <col min="5102" max="5102" width="11.42578125" style="474" customWidth="1"/>
    <col min="5103" max="5103" width="8.85546875" style="474"/>
    <col min="5104" max="5104" width="10.42578125" style="474" customWidth="1"/>
    <col min="5105" max="5105" width="10.85546875" style="474" customWidth="1"/>
    <col min="5106" max="5106" width="11.42578125" style="474" customWidth="1"/>
    <col min="5107" max="5107" width="12" style="474" customWidth="1"/>
    <col min="5108" max="5108" width="11.85546875" style="474" customWidth="1"/>
    <col min="5109" max="5109" width="8.5703125" style="474" customWidth="1"/>
    <col min="5110" max="5110" width="11.42578125" style="474" customWidth="1"/>
    <col min="5111" max="5111" width="11" style="474" customWidth="1"/>
    <col min="5112" max="5112" width="11.5703125" style="474" customWidth="1"/>
    <col min="5113" max="5113" width="8.85546875" style="474"/>
    <col min="5114" max="5114" width="11.140625" style="474" customWidth="1"/>
    <col min="5115" max="5349" width="8.85546875" style="474"/>
    <col min="5350" max="5350" width="38.140625" style="474" customWidth="1"/>
    <col min="5351" max="5351" width="11.85546875" style="474" customWidth="1"/>
    <col min="5352" max="5352" width="45.5703125" style="474" customWidth="1"/>
    <col min="5353" max="5353" width="8.85546875" style="474"/>
    <col min="5354" max="5354" width="13.140625" style="474" customWidth="1"/>
    <col min="5355" max="5355" width="8.85546875" style="474"/>
    <col min="5356" max="5356" width="11.85546875" style="474" customWidth="1"/>
    <col min="5357" max="5357" width="10.5703125" style="474" customWidth="1"/>
    <col min="5358" max="5358" width="11.42578125" style="474" customWidth="1"/>
    <col min="5359" max="5359" width="8.85546875" style="474"/>
    <col min="5360" max="5360" width="10.42578125" style="474" customWidth="1"/>
    <col min="5361" max="5361" width="10.85546875" style="474" customWidth="1"/>
    <col min="5362" max="5362" width="11.42578125" style="474" customWidth="1"/>
    <col min="5363" max="5363" width="12" style="474" customWidth="1"/>
    <col min="5364" max="5364" width="11.85546875" style="474" customWidth="1"/>
    <col min="5365" max="5365" width="8.5703125" style="474" customWidth="1"/>
    <col min="5366" max="5366" width="11.42578125" style="474" customWidth="1"/>
    <col min="5367" max="5367" width="11" style="474" customWidth="1"/>
    <col min="5368" max="5368" width="11.5703125" style="474" customWidth="1"/>
    <col min="5369" max="5369" width="8.85546875" style="474"/>
    <col min="5370" max="5370" width="11.140625" style="474" customWidth="1"/>
    <col min="5371" max="5605" width="8.85546875" style="474"/>
    <col min="5606" max="5606" width="38.140625" style="474" customWidth="1"/>
    <col min="5607" max="5607" width="11.85546875" style="474" customWidth="1"/>
    <col min="5608" max="5608" width="45.5703125" style="474" customWidth="1"/>
    <col min="5609" max="5609" width="8.85546875" style="474"/>
    <col min="5610" max="5610" width="13.140625" style="474" customWidth="1"/>
    <col min="5611" max="5611" width="8.85546875" style="474"/>
    <col min="5612" max="5612" width="11.85546875" style="474" customWidth="1"/>
    <col min="5613" max="5613" width="10.5703125" style="474" customWidth="1"/>
    <col min="5614" max="5614" width="11.42578125" style="474" customWidth="1"/>
    <col min="5615" max="5615" width="8.85546875" style="474"/>
    <col min="5616" max="5616" width="10.42578125" style="474" customWidth="1"/>
    <col min="5617" max="5617" width="10.85546875" style="474" customWidth="1"/>
    <col min="5618" max="5618" width="11.42578125" style="474" customWidth="1"/>
    <col min="5619" max="5619" width="12" style="474" customWidth="1"/>
    <col min="5620" max="5620" width="11.85546875" style="474" customWidth="1"/>
    <col min="5621" max="5621" width="8.5703125" style="474" customWidth="1"/>
    <col min="5622" max="5622" width="11.42578125" style="474" customWidth="1"/>
    <col min="5623" max="5623" width="11" style="474" customWidth="1"/>
    <col min="5624" max="5624" width="11.5703125" style="474" customWidth="1"/>
    <col min="5625" max="5625" width="8.85546875" style="474"/>
    <col min="5626" max="5626" width="11.140625" style="474" customWidth="1"/>
    <col min="5627" max="5861" width="8.85546875" style="474"/>
    <col min="5862" max="5862" width="38.140625" style="474" customWidth="1"/>
    <col min="5863" max="5863" width="11.85546875" style="474" customWidth="1"/>
    <col min="5864" max="5864" width="45.5703125" style="474" customWidth="1"/>
    <col min="5865" max="5865" width="8.85546875" style="474"/>
    <col min="5866" max="5866" width="13.140625" style="474" customWidth="1"/>
    <col min="5867" max="5867" width="8.85546875" style="474"/>
    <col min="5868" max="5868" width="11.85546875" style="474" customWidth="1"/>
    <col min="5869" max="5869" width="10.5703125" style="474" customWidth="1"/>
    <col min="5870" max="5870" width="11.42578125" style="474" customWidth="1"/>
    <col min="5871" max="5871" width="8.85546875" style="474"/>
    <col min="5872" max="5872" width="10.42578125" style="474" customWidth="1"/>
    <col min="5873" max="5873" width="10.85546875" style="474" customWidth="1"/>
    <col min="5874" max="5874" width="11.42578125" style="474" customWidth="1"/>
    <col min="5875" max="5875" width="12" style="474" customWidth="1"/>
    <col min="5876" max="5876" width="11.85546875" style="474" customWidth="1"/>
    <col min="5877" max="5877" width="8.5703125" style="474" customWidth="1"/>
    <col min="5878" max="5878" width="11.42578125" style="474" customWidth="1"/>
    <col min="5879" max="5879" width="11" style="474" customWidth="1"/>
    <col min="5880" max="5880" width="11.5703125" style="474" customWidth="1"/>
    <col min="5881" max="5881" width="8.85546875" style="474"/>
    <col min="5882" max="5882" width="11.140625" style="474" customWidth="1"/>
    <col min="5883" max="6117" width="8.85546875" style="474"/>
    <col min="6118" max="6118" width="38.140625" style="474" customWidth="1"/>
    <col min="6119" max="6119" width="11.85546875" style="474" customWidth="1"/>
    <col min="6120" max="6120" width="45.5703125" style="474" customWidth="1"/>
    <col min="6121" max="6121" width="8.85546875" style="474"/>
    <col min="6122" max="6122" width="13.140625" style="474" customWidth="1"/>
    <col min="6123" max="6123" width="8.85546875" style="474"/>
    <col min="6124" max="6124" width="11.85546875" style="474" customWidth="1"/>
    <col min="6125" max="6125" width="10.5703125" style="474" customWidth="1"/>
    <col min="6126" max="6126" width="11.42578125" style="474" customWidth="1"/>
    <col min="6127" max="6127" width="8.85546875" style="474"/>
    <col min="6128" max="6128" width="10.42578125" style="474" customWidth="1"/>
    <col min="6129" max="6129" width="10.85546875" style="474" customWidth="1"/>
    <col min="6130" max="6130" width="11.42578125" style="474" customWidth="1"/>
    <col min="6131" max="6131" width="12" style="474" customWidth="1"/>
    <col min="6132" max="6132" width="11.85546875" style="474" customWidth="1"/>
    <col min="6133" max="6133" width="8.5703125" style="474" customWidth="1"/>
    <col min="6134" max="6134" width="11.42578125" style="474" customWidth="1"/>
    <col min="6135" max="6135" width="11" style="474" customWidth="1"/>
    <col min="6136" max="6136" width="11.5703125" style="474" customWidth="1"/>
    <col min="6137" max="6137" width="8.85546875" style="474"/>
    <col min="6138" max="6138" width="11.140625" style="474" customWidth="1"/>
    <col min="6139" max="6373" width="8.85546875" style="474"/>
    <col min="6374" max="6374" width="38.140625" style="474" customWidth="1"/>
    <col min="6375" max="6375" width="11.85546875" style="474" customWidth="1"/>
    <col min="6376" max="6376" width="45.5703125" style="474" customWidth="1"/>
    <col min="6377" max="6377" width="8.85546875" style="474"/>
    <col min="6378" max="6378" width="13.140625" style="474" customWidth="1"/>
    <col min="6379" max="6379" width="8.85546875" style="474"/>
    <col min="6380" max="6380" width="11.85546875" style="474" customWidth="1"/>
    <col min="6381" max="6381" width="10.5703125" style="474" customWidth="1"/>
    <col min="6382" max="6382" width="11.42578125" style="474" customWidth="1"/>
    <col min="6383" max="6383" width="8.85546875" style="474"/>
    <col min="6384" max="6384" width="10.42578125" style="474" customWidth="1"/>
    <col min="6385" max="6385" width="10.85546875" style="474" customWidth="1"/>
    <col min="6386" max="6386" width="11.42578125" style="474" customWidth="1"/>
    <col min="6387" max="6387" width="12" style="474" customWidth="1"/>
    <col min="6388" max="6388" width="11.85546875" style="474" customWidth="1"/>
    <col min="6389" max="6389" width="8.5703125" style="474" customWidth="1"/>
    <col min="6390" max="6390" width="11.42578125" style="474" customWidth="1"/>
    <col min="6391" max="6391" width="11" style="474" customWidth="1"/>
    <col min="6392" max="6392" width="11.5703125" style="474" customWidth="1"/>
    <col min="6393" max="6393" width="8.85546875" style="474"/>
    <col min="6394" max="6394" width="11.140625" style="474" customWidth="1"/>
    <col min="6395" max="6629" width="8.85546875" style="474"/>
    <col min="6630" max="6630" width="38.140625" style="474" customWidth="1"/>
    <col min="6631" max="6631" width="11.85546875" style="474" customWidth="1"/>
    <col min="6632" max="6632" width="45.5703125" style="474" customWidth="1"/>
    <col min="6633" max="6633" width="8.85546875" style="474"/>
    <col min="6634" max="6634" width="13.140625" style="474" customWidth="1"/>
    <col min="6635" max="6635" width="8.85546875" style="474"/>
    <col min="6636" max="6636" width="11.85546875" style="474" customWidth="1"/>
    <col min="6637" max="6637" width="10.5703125" style="474" customWidth="1"/>
    <col min="6638" max="6638" width="11.42578125" style="474" customWidth="1"/>
    <col min="6639" max="6639" width="8.85546875" style="474"/>
    <col min="6640" max="6640" width="10.42578125" style="474" customWidth="1"/>
    <col min="6641" max="6641" width="10.85546875" style="474" customWidth="1"/>
    <col min="6642" max="6642" width="11.42578125" style="474" customWidth="1"/>
    <col min="6643" max="6643" width="12" style="474" customWidth="1"/>
    <col min="6644" max="6644" width="11.85546875" style="474" customWidth="1"/>
    <col min="6645" max="6645" width="8.5703125" style="474" customWidth="1"/>
    <col min="6646" max="6646" width="11.42578125" style="474" customWidth="1"/>
    <col min="6647" max="6647" width="11" style="474" customWidth="1"/>
    <col min="6648" max="6648" width="11.5703125" style="474" customWidth="1"/>
    <col min="6649" max="6649" width="8.85546875" style="474"/>
    <col min="6650" max="6650" width="11.140625" style="474" customWidth="1"/>
    <col min="6651" max="6885" width="8.85546875" style="474"/>
    <col min="6886" max="6886" width="38.140625" style="474" customWidth="1"/>
    <col min="6887" max="6887" width="11.85546875" style="474" customWidth="1"/>
    <col min="6888" max="6888" width="45.5703125" style="474" customWidth="1"/>
    <col min="6889" max="6889" width="8.85546875" style="474"/>
    <col min="6890" max="6890" width="13.140625" style="474" customWidth="1"/>
    <col min="6891" max="6891" width="8.85546875" style="474"/>
    <col min="6892" max="6892" width="11.85546875" style="474" customWidth="1"/>
    <col min="6893" max="6893" width="10.5703125" style="474" customWidth="1"/>
    <col min="6894" max="6894" width="11.42578125" style="474" customWidth="1"/>
    <col min="6895" max="6895" width="8.85546875" style="474"/>
    <col min="6896" max="6896" width="10.42578125" style="474" customWidth="1"/>
    <col min="6897" max="6897" width="10.85546875" style="474" customWidth="1"/>
    <col min="6898" max="6898" width="11.42578125" style="474" customWidth="1"/>
    <col min="6899" max="6899" width="12" style="474" customWidth="1"/>
    <col min="6900" max="6900" width="11.85546875" style="474" customWidth="1"/>
    <col min="6901" max="6901" width="8.5703125" style="474" customWidth="1"/>
    <col min="6902" max="6902" width="11.42578125" style="474" customWidth="1"/>
    <col min="6903" max="6903" width="11" style="474" customWidth="1"/>
    <col min="6904" max="6904" width="11.5703125" style="474" customWidth="1"/>
    <col min="6905" max="6905" width="8.85546875" style="474"/>
    <col min="6906" max="6906" width="11.140625" style="474" customWidth="1"/>
    <col min="6907" max="7141" width="8.85546875" style="474"/>
    <col min="7142" max="7142" width="38.140625" style="474" customWidth="1"/>
    <col min="7143" max="7143" width="11.85546875" style="474" customWidth="1"/>
    <col min="7144" max="7144" width="45.5703125" style="474" customWidth="1"/>
    <col min="7145" max="7145" width="8.85546875" style="474"/>
    <col min="7146" max="7146" width="13.140625" style="474" customWidth="1"/>
    <col min="7147" max="7147" width="8.85546875" style="474"/>
    <col min="7148" max="7148" width="11.85546875" style="474" customWidth="1"/>
    <col min="7149" max="7149" width="10.5703125" style="474" customWidth="1"/>
    <col min="7150" max="7150" width="11.42578125" style="474" customWidth="1"/>
    <col min="7151" max="7151" width="8.85546875" style="474"/>
    <col min="7152" max="7152" width="10.42578125" style="474" customWidth="1"/>
    <col min="7153" max="7153" width="10.85546875" style="474" customWidth="1"/>
    <col min="7154" max="7154" width="11.42578125" style="474" customWidth="1"/>
    <col min="7155" max="7155" width="12" style="474" customWidth="1"/>
    <col min="7156" max="7156" width="11.85546875" style="474" customWidth="1"/>
    <col min="7157" max="7157" width="8.5703125" style="474" customWidth="1"/>
    <col min="7158" max="7158" width="11.42578125" style="474" customWidth="1"/>
    <col min="7159" max="7159" width="11" style="474" customWidth="1"/>
    <col min="7160" max="7160" width="11.5703125" style="474" customWidth="1"/>
    <col min="7161" max="7161" width="8.85546875" style="474"/>
    <col min="7162" max="7162" width="11.140625" style="474" customWidth="1"/>
    <col min="7163" max="7397" width="8.85546875" style="474"/>
    <col min="7398" max="7398" width="38.140625" style="474" customWidth="1"/>
    <col min="7399" max="7399" width="11.85546875" style="474" customWidth="1"/>
    <col min="7400" max="7400" width="45.5703125" style="474" customWidth="1"/>
    <col min="7401" max="7401" width="8.85546875" style="474"/>
    <col min="7402" max="7402" width="13.140625" style="474" customWidth="1"/>
    <col min="7403" max="7403" width="8.85546875" style="474"/>
    <col min="7404" max="7404" width="11.85546875" style="474" customWidth="1"/>
    <col min="7405" max="7405" width="10.5703125" style="474" customWidth="1"/>
    <col min="7406" max="7406" width="11.42578125" style="474" customWidth="1"/>
    <col min="7407" max="7407" width="8.85546875" style="474"/>
    <col min="7408" max="7408" width="10.42578125" style="474" customWidth="1"/>
    <col min="7409" max="7409" width="10.85546875" style="474" customWidth="1"/>
    <col min="7410" max="7410" width="11.42578125" style="474" customWidth="1"/>
    <col min="7411" max="7411" width="12" style="474" customWidth="1"/>
    <col min="7412" max="7412" width="11.85546875" style="474" customWidth="1"/>
    <col min="7413" max="7413" width="8.5703125" style="474" customWidth="1"/>
    <col min="7414" max="7414" width="11.42578125" style="474" customWidth="1"/>
    <col min="7415" max="7415" width="11" style="474" customWidth="1"/>
    <col min="7416" max="7416" width="11.5703125" style="474" customWidth="1"/>
    <col min="7417" max="7417" width="8.85546875" style="474"/>
    <col min="7418" max="7418" width="11.140625" style="474" customWidth="1"/>
    <col min="7419" max="7653" width="8.85546875" style="474"/>
    <col min="7654" max="7654" width="38.140625" style="474" customWidth="1"/>
    <col min="7655" max="7655" width="11.85546875" style="474" customWidth="1"/>
    <col min="7656" max="7656" width="45.5703125" style="474" customWidth="1"/>
    <col min="7657" max="7657" width="8.85546875" style="474"/>
    <col min="7658" max="7658" width="13.140625" style="474" customWidth="1"/>
    <col min="7659" max="7659" width="8.85546875" style="474"/>
    <col min="7660" max="7660" width="11.85546875" style="474" customWidth="1"/>
    <col min="7661" max="7661" width="10.5703125" style="474" customWidth="1"/>
    <col min="7662" max="7662" width="11.42578125" style="474" customWidth="1"/>
    <col min="7663" max="7663" width="8.85546875" style="474"/>
    <col min="7664" max="7664" width="10.42578125" style="474" customWidth="1"/>
    <col min="7665" max="7665" width="10.85546875" style="474" customWidth="1"/>
    <col min="7666" max="7666" width="11.42578125" style="474" customWidth="1"/>
    <col min="7667" max="7667" width="12" style="474" customWidth="1"/>
    <col min="7668" max="7668" width="11.85546875" style="474" customWidth="1"/>
    <col min="7669" max="7669" width="8.5703125" style="474" customWidth="1"/>
    <col min="7670" max="7670" width="11.42578125" style="474" customWidth="1"/>
    <col min="7671" max="7671" width="11" style="474" customWidth="1"/>
    <col min="7672" max="7672" width="11.5703125" style="474" customWidth="1"/>
    <col min="7673" max="7673" width="8.85546875" style="474"/>
    <col min="7674" max="7674" width="11.140625" style="474" customWidth="1"/>
    <col min="7675" max="7909" width="8.85546875" style="474"/>
    <col min="7910" max="7910" width="38.140625" style="474" customWidth="1"/>
    <col min="7911" max="7911" width="11.85546875" style="474" customWidth="1"/>
    <col min="7912" max="7912" width="45.5703125" style="474" customWidth="1"/>
    <col min="7913" max="7913" width="8.85546875" style="474"/>
    <col min="7914" max="7914" width="13.140625" style="474" customWidth="1"/>
    <col min="7915" max="7915" width="8.85546875" style="474"/>
    <col min="7916" max="7916" width="11.85546875" style="474" customWidth="1"/>
    <col min="7917" max="7917" width="10.5703125" style="474" customWidth="1"/>
    <col min="7918" max="7918" width="11.42578125" style="474" customWidth="1"/>
    <col min="7919" max="7919" width="8.85546875" style="474"/>
    <col min="7920" max="7920" width="10.42578125" style="474" customWidth="1"/>
    <col min="7921" max="7921" width="10.85546875" style="474" customWidth="1"/>
    <col min="7922" max="7922" width="11.42578125" style="474" customWidth="1"/>
    <col min="7923" max="7923" width="12" style="474" customWidth="1"/>
    <col min="7924" max="7924" width="11.85546875" style="474" customWidth="1"/>
    <col min="7925" max="7925" width="8.5703125" style="474" customWidth="1"/>
    <col min="7926" max="7926" width="11.42578125" style="474" customWidth="1"/>
    <col min="7927" max="7927" width="11" style="474" customWidth="1"/>
    <col min="7928" max="7928" width="11.5703125" style="474" customWidth="1"/>
    <col min="7929" max="7929" width="8.85546875" style="474"/>
    <col min="7930" max="7930" width="11.140625" style="474" customWidth="1"/>
    <col min="7931" max="8165" width="8.85546875" style="474"/>
    <col min="8166" max="8166" width="38.140625" style="474" customWidth="1"/>
    <col min="8167" max="8167" width="11.85546875" style="474" customWidth="1"/>
    <col min="8168" max="8168" width="45.5703125" style="474" customWidth="1"/>
    <col min="8169" max="8169" width="8.85546875" style="474"/>
    <col min="8170" max="8170" width="13.140625" style="474" customWidth="1"/>
    <col min="8171" max="8171" width="8.85546875" style="474"/>
    <col min="8172" max="8172" width="11.85546875" style="474" customWidth="1"/>
    <col min="8173" max="8173" width="10.5703125" style="474" customWidth="1"/>
    <col min="8174" max="8174" width="11.42578125" style="474" customWidth="1"/>
    <col min="8175" max="8175" width="8.85546875" style="474"/>
    <col min="8176" max="8176" width="10.42578125" style="474" customWidth="1"/>
    <col min="8177" max="8177" width="10.85546875" style="474" customWidth="1"/>
    <col min="8178" max="8178" width="11.42578125" style="474" customWidth="1"/>
    <col min="8179" max="8179" width="12" style="474" customWidth="1"/>
    <col min="8180" max="8180" width="11.85546875" style="474" customWidth="1"/>
    <col min="8181" max="8181" width="8.5703125" style="474" customWidth="1"/>
    <col min="8182" max="8182" width="11.42578125" style="474" customWidth="1"/>
    <col min="8183" max="8183" width="11" style="474" customWidth="1"/>
    <col min="8184" max="8184" width="11.5703125" style="474" customWidth="1"/>
    <col min="8185" max="8185" width="8.85546875" style="474"/>
    <col min="8186" max="8186" width="11.140625" style="474" customWidth="1"/>
    <col min="8187" max="8421" width="8.85546875" style="474"/>
    <col min="8422" max="8422" width="38.140625" style="474" customWidth="1"/>
    <col min="8423" max="8423" width="11.85546875" style="474" customWidth="1"/>
    <col min="8424" max="8424" width="45.5703125" style="474" customWidth="1"/>
    <col min="8425" max="8425" width="8.85546875" style="474"/>
    <col min="8426" max="8426" width="13.140625" style="474" customWidth="1"/>
    <col min="8427" max="8427" width="8.85546875" style="474"/>
    <col min="8428" max="8428" width="11.85546875" style="474" customWidth="1"/>
    <col min="8429" max="8429" width="10.5703125" style="474" customWidth="1"/>
    <col min="8430" max="8430" width="11.42578125" style="474" customWidth="1"/>
    <col min="8431" max="8431" width="8.85546875" style="474"/>
    <col min="8432" max="8432" width="10.42578125" style="474" customWidth="1"/>
    <col min="8433" max="8433" width="10.85546875" style="474" customWidth="1"/>
    <col min="8434" max="8434" width="11.42578125" style="474" customWidth="1"/>
    <col min="8435" max="8435" width="12" style="474" customWidth="1"/>
    <col min="8436" max="8436" width="11.85546875" style="474" customWidth="1"/>
    <col min="8437" max="8437" width="8.5703125" style="474" customWidth="1"/>
    <col min="8438" max="8438" width="11.42578125" style="474" customWidth="1"/>
    <col min="8439" max="8439" width="11" style="474" customWidth="1"/>
    <col min="8440" max="8440" width="11.5703125" style="474" customWidth="1"/>
    <col min="8441" max="8441" width="8.85546875" style="474"/>
    <col min="8442" max="8442" width="11.140625" style="474" customWidth="1"/>
    <col min="8443" max="8677" width="8.85546875" style="474"/>
    <col min="8678" max="8678" width="38.140625" style="474" customWidth="1"/>
    <col min="8679" max="8679" width="11.85546875" style="474" customWidth="1"/>
    <col min="8680" max="8680" width="45.5703125" style="474" customWidth="1"/>
    <col min="8681" max="8681" width="8.85546875" style="474"/>
    <col min="8682" max="8682" width="13.140625" style="474" customWidth="1"/>
    <col min="8683" max="8683" width="8.85546875" style="474"/>
    <col min="8684" max="8684" width="11.85546875" style="474" customWidth="1"/>
    <col min="8685" max="8685" width="10.5703125" style="474" customWidth="1"/>
    <col min="8686" max="8686" width="11.42578125" style="474" customWidth="1"/>
    <col min="8687" max="8687" width="8.85546875" style="474"/>
    <col min="8688" max="8688" width="10.42578125" style="474" customWidth="1"/>
    <col min="8689" max="8689" width="10.85546875" style="474" customWidth="1"/>
    <col min="8690" max="8690" width="11.42578125" style="474" customWidth="1"/>
    <col min="8691" max="8691" width="12" style="474" customWidth="1"/>
    <col min="8692" max="8692" width="11.85546875" style="474" customWidth="1"/>
    <col min="8693" max="8693" width="8.5703125" style="474" customWidth="1"/>
    <col min="8694" max="8694" width="11.42578125" style="474" customWidth="1"/>
    <col min="8695" max="8695" width="11" style="474" customWidth="1"/>
    <col min="8696" max="8696" width="11.5703125" style="474" customWidth="1"/>
    <col min="8697" max="8697" width="8.85546875" style="474"/>
    <col min="8698" max="8698" width="11.140625" style="474" customWidth="1"/>
    <col min="8699" max="8933" width="8.85546875" style="474"/>
    <col min="8934" max="8934" width="38.140625" style="474" customWidth="1"/>
    <col min="8935" max="8935" width="11.85546875" style="474" customWidth="1"/>
    <col min="8936" max="8936" width="45.5703125" style="474" customWidth="1"/>
    <col min="8937" max="8937" width="8.85546875" style="474"/>
    <col min="8938" max="8938" width="13.140625" style="474" customWidth="1"/>
    <col min="8939" max="8939" width="8.85546875" style="474"/>
    <col min="8940" max="8940" width="11.85546875" style="474" customWidth="1"/>
    <col min="8941" max="8941" width="10.5703125" style="474" customWidth="1"/>
    <col min="8942" max="8942" width="11.42578125" style="474" customWidth="1"/>
    <col min="8943" max="8943" width="8.85546875" style="474"/>
    <col min="8944" max="8944" width="10.42578125" style="474" customWidth="1"/>
    <col min="8945" max="8945" width="10.85546875" style="474" customWidth="1"/>
    <col min="8946" max="8946" width="11.42578125" style="474" customWidth="1"/>
    <col min="8947" max="8947" width="12" style="474" customWidth="1"/>
    <col min="8948" max="8948" width="11.85546875" style="474" customWidth="1"/>
    <col min="8949" max="8949" width="8.5703125" style="474" customWidth="1"/>
    <col min="8950" max="8950" width="11.42578125" style="474" customWidth="1"/>
    <col min="8951" max="8951" width="11" style="474" customWidth="1"/>
    <col min="8952" max="8952" width="11.5703125" style="474" customWidth="1"/>
    <col min="8953" max="8953" width="8.85546875" style="474"/>
    <col min="8954" max="8954" width="11.140625" style="474" customWidth="1"/>
    <col min="8955" max="9189" width="8.85546875" style="474"/>
    <col min="9190" max="9190" width="38.140625" style="474" customWidth="1"/>
    <col min="9191" max="9191" width="11.85546875" style="474" customWidth="1"/>
    <col min="9192" max="9192" width="45.5703125" style="474" customWidth="1"/>
    <col min="9193" max="9193" width="8.85546875" style="474"/>
    <col min="9194" max="9194" width="13.140625" style="474" customWidth="1"/>
    <col min="9195" max="9195" width="8.85546875" style="474"/>
    <col min="9196" max="9196" width="11.85546875" style="474" customWidth="1"/>
    <col min="9197" max="9197" width="10.5703125" style="474" customWidth="1"/>
    <col min="9198" max="9198" width="11.42578125" style="474" customWidth="1"/>
    <col min="9199" max="9199" width="8.85546875" style="474"/>
    <col min="9200" max="9200" width="10.42578125" style="474" customWidth="1"/>
    <col min="9201" max="9201" width="10.85546875" style="474" customWidth="1"/>
    <col min="9202" max="9202" width="11.42578125" style="474" customWidth="1"/>
    <col min="9203" max="9203" width="12" style="474" customWidth="1"/>
    <col min="9204" max="9204" width="11.85546875" style="474" customWidth="1"/>
    <col min="9205" max="9205" width="8.5703125" style="474" customWidth="1"/>
    <col min="9206" max="9206" width="11.42578125" style="474" customWidth="1"/>
    <col min="9207" max="9207" width="11" style="474" customWidth="1"/>
    <col min="9208" max="9208" width="11.5703125" style="474" customWidth="1"/>
    <col min="9209" max="9209" width="8.85546875" style="474"/>
    <col min="9210" max="9210" width="11.140625" style="474" customWidth="1"/>
    <col min="9211" max="9445" width="8.85546875" style="474"/>
    <col min="9446" max="9446" width="38.140625" style="474" customWidth="1"/>
    <col min="9447" max="9447" width="11.85546875" style="474" customWidth="1"/>
    <col min="9448" max="9448" width="45.5703125" style="474" customWidth="1"/>
    <col min="9449" max="9449" width="8.85546875" style="474"/>
    <col min="9450" max="9450" width="13.140625" style="474" customWidth="1"/>
    <col min="9451" max="9451" width="8.85546875" style="474"/>
    <col min="9452" max="9452" width="11.85546875" style="474" customWidth="1"/>
    <col min="9453" max="9453" width="10.5703125" style="474" customWidth="1"/>
    <col min="9454" max="9454" width="11.42578125" style="474" customWidth="1"/>
    <col min="9455" max="9455" width="8.85546875" style="474"/>
    <col min="9456" max="9456" width="10.42578125" style="474" customWidth="1"/>
    <col min="9457" max="9457" width="10.85546875" style="474" customWidth="1"/>
    <col min="9458" max="9458" width="11.42578125" style="474" customWidth="1"/>
    <col min="9459" max="9459" width="12" style="474" customWidth="1"/>
    <col min="9460" max="9460" width="11.85546875" style="474" customWidth="1"/>
    <col min="9461" max="9461" width="8.5703125" style="474" customWidth="1"/>
    <col min="9462" max="9462" width="11.42578125" style="474" customWidth="1"/>
    <col min="9463" max="9463" width="11" style="474" customWidth="1"/>
    <col min="9464" max="9464" width="11.5703125" style="474" customWidth="1"/>
    <col min="9465" max="9465" width="8.85546875" style="474"/>
    <col min="9466" max="9466" width="11.140625" style="474" customWidth="1"/>
    <col min="9467" max="9701" width="8.85546875" style="474"/>
    <col min="9702" max="9702" width="38.140625" style="474" customWidth="1"/>
    <col min="9703" max="9703" width="11.85546875" style="474" customWidth="1"/>
    <col min="9704" max="9704" width="45.5703125" style="474" customWidth="1"/>
    <col min="9705" max="9705" width="8.85546875" style="474"/>
    <col min="9706" max="9706" width="13.140625" style="474" customWidth="1"/>
    <col min="9707" max="9707" width="8.85546875" style="474"/>
    <col min="9708" max="9708" width="11.85546875" style="474" customWidth="1"/>
    <col min="9709" max="9709" width="10.5703125" style="474" customWidth="1"/>
    <col min="9710" max="9710" width="11.42578125" style="474" customWidth="1"/>
    <col min="9711" max="9711" width="8.85546875" style="474"/>
    <col min="9712" max="9712" width="10.42578125" style="474" customWidth="1"/>
    <col min="9713" max="9713" width="10.85546875" style="474" customWidth="1"/>
    <col min="9714" max="9714" width="11.42578125" style="474" customWidth="1"/>
    <col min="9715" max="9715" width="12" style="474" customWidth="1"/>
    <col min="9716" max="9716" width="11.85546875" style="474" customWidth="1"/>
    <col min="9717" max="9717" width="8.5703125" style="474" customWidth="1"/>
    <col min="9718" max="9718" width="11.42578125" style="474" customWidth="1"/>
    <col min="9719" max="9719" width="11" style="474" customWidth="1"/>
    <col min="9720" max="9720" width="11.5703125" style="474" customWidth="1"/>
    <col min="9721" max="9721" width="8.85546875" style="474"/>
    <col min="9722" max="9722" width="11.140625" style="474" customWidth="1"/>
    <col min="9723" max="9957" width="8.85546875" style="474"/>
    <col min="9958" max="9958" width="38.140625" style="474" customWidth="1"/>
    <col min="9959" max="9959" width="11.85546875" style="474" customWidth="1"/>
    <col min="9960" max="9960" width="45.5703125" style="474" customWidth="1"/>
    <col min="9961" max="9961" width="8.85546875" style="474"/>
    <col min="9962" max="9962" width="13.140625" style="474" customWidth="1"/>
    <col min="9963" max="9963" width="8.85546875" style="474"/>
    <col min="9964" max="9964" width="11.85546875" style="474" customWidth="1"/>
    <col min="9965" max="9965" width="10.5703125" style="474" customWidth="1"/>
    <col min="9966" max="9966" width="11.42578125" style="474" customWidth="1"/>
    <col min="9967" max="9967" width="8.85546875" style="474"/>
    <col min="9968" max="9968" width="10.42578125" style="474" customWidth="1"/>
    <col min="9969" max="9969" width="10.85546875" style="474" customWidth="1"/>
    <col min="9970" max="9970" width="11.42578125" style="474" customWidth="1"/>
    <col min="9971" max="9971" width="12" style="474" customWidth="1"/>
    <col min="9972" max="9972" width="11.85546875" style="474" customWidth="1"/>
    <col min="9973" max="9973" width="8.5703125" style="474" customWidth="1"/>
    <col min="9974" max="9974" width="11.42578125" style="474" customWidth="1"/>
    <col min="9975" max="9975" width="11" style="474" customWidth="1"/>
    <col min="9976" max="9976" width="11.5703125" style="474" customWidth="1"/>
    <col min="9977" max="9977" width="8.85546875" style="474"/>
    <col min="9978" max="9978" width="11.140625" style="474" customWidth="1"/>
    <col min="9979" max="10213" width="8.85546875" style="474"/>
    <col min="10214" max="10214" width="38.140625" style="474" customWidth="1"/>
    <col min="10215" max="10215" width="11.85546875" style="474" customWidth="1"/>
    <col min="10216" max="10216" width="45.5703125" style="474" customWidth="1"/>
    <col min="10217" max="10217" width="8.85546875" style="474"/>
    <col min="10218" max="10218" width="13.140625" style="474" customWidth="1"/>
    <col min="10219" max="10219" width="8.85546875" style="474"/>
    <col min="10220" max="10220" width="11.85546875" style="474" customWidth="1"/>
    <col min="10221" max="10221" width="10.5703125" style="474" customWidth="1"/>
    <col min="10222" max="10222" width="11.42578125" style="474" customWidth="1"/>
    <col min="10223" max="10223" width="8.85546875" style="474"/>
    <col min="10224" max="10224" width="10.42578125" style="474" customWidth="1"/>
    <col min="10225" max="10225" width="10.85546875" style="474" customWidth="1"/>
    <col min="10226" max="10226" width="11.42578125" style="474" customWidth="1"/>
    <col min="10227" max="10227" width="12" style="474" customWidth="1"/>
    <col min="10228" max="10228" width="11.85546875" style="474" customWidth="1"/>
    <col min="10229" max="10229" width="8.5703125" style="474" customWidth="1"/>
    <col min="10230" max="10230" width="11.42578125" style="474" customWidth="1"/>
    <col min="10231" max="10231" width="11" style="474" customWidth="1"/>
    <col min="10232" max="10232" width="11.5703125" style="474" customWidth="1"/>
    <col min="10233" max="10233" width="8.85546875" style="474"/>
    <col min="10234" max="10234" width="11.140625" style="474" customWidth="1"/>
    <col min="10235" max="10469" width="8.85546875" style="474"/>
    <col min="10470" max="10470" width="38.140625" style="474" customWidth="1"/>
    <col min="10471" max="10471" width="11.85546875" style="474" customWidth="1"/>
    <col min="10472" max="10472" width="45.5703125" style="474" customWidth="1"/>
    <col min="10473" max="10473" width="8.85546875" style="474"/>
    <col min="10474" max="10474" width="13.140625" style="474" customWidth="1"/>
    <col min="10475" max="10475" width="8.85546875" style="474"/>
    <col min="10476" max="10476" width="11.85546875" style="474" customWidth="1"/>
    <col min="10477" max="10477" width="10.5703125" style="474" customWidth="1"/>
    <col min="10478" max="10478" width="11.42578125" style="474" customWidth="1"/>
    <col min="10479" max="10479" width="8.85546875" style="474"/>
    <col min="10480" max="10480" width="10.42578125" style="474" customWidth="1"/>
    <col min="10481" max="10481" width="10.85546875" style="474" customWidth="1"/>
    <col min="10482" max="10482" width="11.42578125" style="474" customWidth="1"/>
    <col min="10483" max="10483" width="12" style="474" customWidth="1"/>
    <col min="10484" max="10484" width="11.85546875" style="474" customWidth="1"/>
    <col min="10485" max="10485" width="8.5703125" style="474" customWidth="1"/>
    <col min="10486" max="10486" width="11.42578125" style="474" customWidth="1"/>
    <col min="10487" max="10487" width="11" style="474" customWidth="1"/>
    <col min="10488" max="10488" width="11.5703125" style="474" customWidth="1"/>
    <col min="10489" max="10489" width="8.85546875" style="474"/>
    <col min="10490" max="10490" width="11.140625" style="474" customWidth="1"/>
    <col min="10491" max="10725" width="8.85546875" style="474"/>
    <col min="10726" max="10726" width="38.140625" style="474" customWidth="1"/>
    <col min="10727" max="10727" width="11.85546875" style="474" customWidth="1"/>
    <col min="10728" max="10728" width="45.5703125" style="474" customWidth="1"/>
    <col min="10729" max="10729" width="8.85546875" style="474"/>
    <col min="10730" max="10730" width="13.140625" style="474" customWidth="1"/>
    <col min="10731" max="10731" width="8.85546875" style="474"/>
    <col min="10732" max="10732" width="11.85546875" style="474" customWidth="1"/>
    <col min="10733" max="10733" width="10.5703125" style="474" customWidth="1"/>
    <col min="10734" max="10734" width="11.42578125" style="474" customWidth="1"/>
    <col min="10735" max="10735" width="8.85546875" style="474"/>
    <col min="10736" max="10736" width="10.42578125" style="474" customWidth="1"/>
    <col min="10737" max="10737" width="10.85546875" style="474" customWidth="1"/>
    <col min="10738" max="10738" width="11.42578125" style="474" customWidth="1"/>
    <col min="10739" max="10739" width="12" style="474" customWidth="1"/>
    <col min="10740" max="10740" width="11.85546875" style="474" customWidth="1"/>
    <col min="10741" max="10741" width="8.5703125" style="474" customWidth="1"/>
    <col min="10742" max="10742" width="11.42578125" style="474" customWidth="1"/>
    <col min="10743" max="10743" width="11" style="474" customWidth="1"/>
    <col min="10744" max="10744" width="11.5703125" style="474" customWidth="1"/>
    <col min="10745" max="10745" width="8.85546875" style="474"/>
    <col min="10746" max="10746" width="11.140625" style="474" customWidth="1"/>
    <col min="10747" max="10981" width="8.85546875" style="474"/>
    <col min="10982" max="10982" width="38.140625" style="474" customWidth="1"/>
    <col min="10983" max="10983" width="11.85546875" style="474" customWidth="1"/>
    <col min="10984" max="10984" width="45.5703125" style="474" customWidth="1"/>
    <col min="10985" max="10985" width="8.85546875" style="474"/>
    <col min="10986" max="10986" width="13.140625" style="474" customWidth="1"/>
    <col min="10987" max="10987" width="8.85546875" style="474"/>
    <col min="10988" max="10988" width="11.85546875" style="474" customWidth="1"/>
    <col min="10989" max="10989" width="10.5703125" style="474" customWidth="1"/>
    <col min="10990" max="10990" width="11.42578125" style="474" customWidth="1"/>
    <col min="10991" max="10991" width="8.85546875" style="474"/>
    <col min="10992" max="10992" width="10.42578125" style="474" customWidth="1"/>
    <col min="10993" max="10993" width="10.85546875" style="474" customWidth="1"/>
    <col min="10994" max="10994" width="11.42578125" style="474" customWidth="1"/>
    <col min="10995" max="10995" width="12" style="474" customWidth="1"/>
    <col min="10996" max="10996" width="11.85546875" style="474" customWidth="1"/>
    <col min="10997" max="10997" width="8.5703125" style="474" customWidth="1"/>
    <col min="10998" max="10998" width="11.42578125" style="474" customWidth="1"/>
    <col min="10999" max="10999" width="11" style="474" customWidth="1"/>
    <col min="11000" max="11000" width="11.5703125" style="474" customWidth="1"/>
    <col min="11001" max="11001" width="8.85546875" style="474"/>
    <col min="11002" max="11002" width="11.140625" style="474" customWidth="1"/>
    <col min="11003" max="11237" width="8.85546875" style="474"/>
    <col min="11238" max="11238" width="38.140625" style="474" customWidth="1"/>
    <col min="11239" max="11239" width="11.85546875" style="474" customWidth="1"/>
    <col min="11240" max="11240" width="45.5703125" style="474" customWidth="1"/>
    <col min="11241" max="11241" width="8.85546875" style="474"/>
    <col min="11242" max="11242" width="13.140625" style="474" customWidth="1"/>
    <col min="11243" max="11243" width="8.85546875" style="474"/>
    <col min="11244" max="11244" width="11.85546875" style="474" customWidth="1"/>
    <col min="11245" max="11245" width="10.5703125" style="474" customWidth="1"/>
    <col min="11246" max="11246" width="11.42578125" style="474" customWidth="1"/>
    <col min="11247" max="11247" width="8.85546875" style="474"/>
    <col min="11248" max="11248" width="10.42578125" style="474" customWidth="1"/>
    <col min="11249" max="11249" width="10.85546875" style="474" customWidth="1"/>
    <col min="11250" max="11250" width="11.42578125" style="474" customWidth="1"/>
    <col min="11251" max="11251" width="12" style="474" customWidth="1"/>
    <col min="11252" max="11252" width="11.85546875" style="474" customWidth="1"/>
    <col min="11253" max="11253" width="8.5703125" style="474" customWidth="1"/>
    <col min="11254" max="11254" width="11.42578125" style="474" customWidth="1"/>
    <col min="11255" max="11255" width="11" style="474" customWidth="1"/>
    <col min="11256" max="11256" width="11.5703125" style="474" customWidth="1"/>
    <col min="11257" max="11257" width="8.85546875" style="474"/>
    <col min="11258" max="11258" width="11.140625" style="474" customWidth="1"/>
    <col min="11259" max="11493" width="8.85546875" style="474"/>
    <col min="11494" max="11494" width="38.140625" style="474" customWidth="1"/>
    <col min="11495" max="11495" width="11.85546875" style="474" customWidth="1"/>
    <col min="11496" max="11496" width="45.5703125" style="474" customWidth="1"/>
    <col min="11497" max="11497" width="8.85546875" style="474"/>
    <col min="11498" max="11498" width="13.140625" style="474" customWidth="1"/>
    <col min="11499" max="11499" width="8.85546875" style="474"/>
    <col min="11500" max="11500" width="11.85546875" style="474" customWidth="1"/>
    <col min="11501" max="11501" width="10.5703125" style="474" customWidth="1"/>
    <col min="11502" max="11502" width="11.42578125" style="474" customWidth="1"/>
    <col min="11503" max="11503" width="8.85546875" style="474"/>
    <col min="11504" max="11504" width="10.42578125" style="474" customWidth="1"/>
    <col min="11505" max="11505" width="10.85546875" style="474" customWidth="1"/>
    <col min="11506" max="11506" width="11.42578125" style="474" customWidth="1"/>
    <col min="11507" max="11507" width="12" style="474" customWidth="1"/>
    <col min="11508" max="11508" width="11.85546875" style="474" customWidth="1"/>
    <col min="11509" max="11509" width="8.5703125" style="474" customWidth="1"/>
    <col min="11510" max="11510" width="11.42578125" style="474" customWidth="1"/>
    <col min="11511" max="11511" width="11" style="474" customWidth="1"/>
    <col min="11512" max="11512" width="11.5703125" style="474" customWidth="1"/>
    <col min="11513" max="11513" width="8.85546875" style="474"/>
    <col min="11514" max="11514" width="11.140625" style="474" customWidth="1"/>
    <col min="11515" max="11749" width="8.85546875" style="474"/>
    <col min="11750" max="11750" width="38.140625" style="474" customWidth="1"/>
    <col min="11751" max="11751" width="11.85546875" style="474" customWidth="1"/>
    <col min="11752" max="11752" width="45.5703125" style="474" customWidth="1"/>
    <col min="11753" max="11753" width="8.85546875" style="474"/>
    <col min="11754" max="11754" width="13.140625" style="474" customWidth="1"/>
    <col min="11755" max="11755" width="8.85546875" style="474"/>
    <col min="11756" max="11756" width="11.85546875" style="474" customWidth="1"/>
    <col min="11757" max="11757" width="10.5703125" style="474" customWidth="1"/>
    <col min="11758" max="11758" width="11.42578125" style="474" customWidth="1"/>
    <col min="11759" max="11759" width="8.85546875" style="474"/>
    <col min="11760" max="11760" width="10.42578125" style="474" customWidth="1"/>
    <col min="11761" max="11761" width="10.85546875" style="474" customWidth="1"/>
    <col min="11762" max="11762" width="11.42578125" style="474" customWidth="1"/>
    <col min="11763" max="11763" width="12" style="474" customWidth="1"/>
    <col min="11764" max="11764" width="11.85546875" style="474" customWidth="1"/>
    <col min="11765" max="11765" width="8.5703125" style="474" customWidth="1"/>
    <col min="11766" max="11766" width="11.42578125" style="474" customWidth="1"/>
    <col min="11767" max="11767" width="11" style="474" customWidth="1"/>
    <col min="11768" max="11768" width="11.5703125" style="474" customWidth="1"/>
    <col min="11769" max="11769" width="8.85546875" style="474"/>
    <col min="11770" max="11770" width="11.140625" style="474" customWidth="1"/>
    <col min="11771" max="12005" width="8.85546875" style="474"/>
    <col min="12006" max="12006" width="38.140625" style="474" customWidth="1"/>
    <col min="12007" max="12007" width="11.85546875" style="474" customWidth="1"/>
    <col min="12008" max="12008" width="45.5703125" style="474" customWidth="1"/>
    <col min="12009" max="12009" width="8.85546875" style="474"/>
    <col min="12010" max="12010" width="13.140625" style="474" customWidth="1"/>
    <col min="12011" max="12011" width="8.85546875" style="474"/>
    <col min="12012" max="12012" width="11.85546875" style="474" customWidth="1"/>
    <col min="12013" max="12013" width="10.5703125" style="474" customWidth="1"/>
    <col min="12014" max="12014" width="11.42578125" style="474" customWidth="1"/>
    <col min="12015" max="12015" width="8.85546875" style="474"/>
    <col min="12016" max="12016" width="10.42578125" style="474" customWidth="1"/>
    <col min="12017" max="12017" width="10.85546875" style="474" customWidth="1"/>
    <col min="12018" max="12018" width="11.42578125" style="474" customWidth="1"/>
    <col min="12019" max="12019" width="12" style="474" customWidth="1"/>
    <col min="12020" max="12020" width="11.85546875" style="474" customWidth="1"/>
    <col min="12021" max="12021" width="8.5703125" style="474" customWidth="1"/>
    <col min="12022" max="12022" width="11.42578125" style="474" customWidth="1"/>
    <col min="12023" max="12023" width="11" style="474" customWidth="1"/>
    <col min="12024" max="12024" width="11.5703125" style="474" customWidth="1"/>
    <col min="12025" max="12025" width="8.85546875" style="474"/>
    <col min="12026" max="12026" width="11.140625" style="474" customWidth="1"/>
    <col min="12027" max="12261" width="8.85546875" style="474"/>
    <col min="12262" max="12262" width="38.140625" style="474" customWidth="1"/>
    <col min="12263" max="12263" width="11.85546875" style="474" customWidth="1"/>
    <col min="12264" max="12264" width="45.5703125" style="474" customWidth="1"/>
    <col min="12265" max="12265" width="8.85546875" style="474"/>
    <col min="12266" max="12266" width="13.140625" style="474" customWidth="1"/>
    <col min="12267" max="12267" width="8.85546875" style="474"/>
    <col min="12268" max="12268" width="11.85546875" style="474" customWidth="1"/>
    <col min="12269" max="12269" width="10.5703125" style="474" customWidth="1"/>
    <col min="12270" max="12270" width="11.42578125" style="474" customWidth="1"/>
    <col min="12271" max="12271" width="8.85546875" style="474"/>
    <col min="12272" max="12272" width="10.42578125" style="474" customWidth="1"/>
    <col min="12273" max="12273" width="10.85546875" style="474" customWidth="1"/>
    <col min="12274" max="12274" width="11.42578125" style="474" customWidth="1"/>
    <col min="12275" max="12275" width="12" style="474" customWidth="1"/>
    <col min="12276" max="12276" width="11.85546875" style="474" customWidth="1"/>
    <col min="12277" max="12277" width="8.5703125" style="474" customWidth="1"/>
    <col min="12278" max="12278" width="11.42578125" style="474" customWidth="1"/>
    <col min="12279" max="12279" width="11" style="474" customWidth="1"/>
    <col min="12280" max="12280" width="11.5703125" style="474" customWidth="1"/>
    <col min="12281" max="12281" width="8.85546875" style="474"/>
    <col min="12282" max="12282" width="11.140625" style="474" customWidth="1"/>
    <col min="12283" max="12517" width="8.85546875" style="474"/>
    <col min="12518" max="12518" width="38.140625" style="474" customWidth="1"/>
    <col min="12519" max="12519" width="11.85546875" style="474" customWidth="1"/>
    <col min="12520" max="12520" width="45.5703125" style="474" customWidth="1"/>
    <col min="12521" max="12521" width="8.85546875" style="474"/>
    <col min="12522" max="12522" width="13.140625" style="474" customWidth="1"/>
    <col min="12523" max="12523" width="8.85546875" style="474"/>
    <col min="12524" max="12524" width="11.85546875" style="474" customWidth="1"/>
    <col min="12525" max="12525" width="10.5703125" style="474" customWidth="1"/>
    <col min="12526" max="12526" width="11.42578125" style="474" customWidth="1"/>
    <col min="12527" max="12527" width="8.85546875" style="474"/>
    <col min="12528" max="12528" width="10.42578125" style="474" customWidth="1"/>
    <col min="12529" max="12529" width="10.85546875" style="474" customWidth="1"/>
    <col min="12530" max="12530" width="11.42578125" style="474" customWidth="1"/>
    <col min="12531" max="12531" width="12" style="474" customWidth="1"/>
    <col min="12532" max="12532" width="11.85546875" style="474" customWidth="1"/>
    <col min="12533" max="12533" width="8.5703125" style="474" customWidth="1"/>
    <col min="12534" max="12534" width="11.42578125" style="474" customWidth="1"/>
    <col min="12535" max="12535" width="11" style="474" customWidth="1"/>
    <col min="12536" max="12536" width="11.5703125" style="474" customWidth="1"/>
    <col min="12537" max="12537" width="8.85546875" style="474"/>
    <col min="12538" max="12538" width="11.140625" style="474" customWidth="1"/>
    <col min="12539" max="12773" width="8.85546875" style="474"/>
    <col min="12774" max="12774" width="38.140625" style="474" customWidth="1"/>
    <col min="12775" max="12775" width="11.85546875" style="474" customWidth="1"/>
    <col min="12776" max="12776" width="45.5703125" style="474" customWidth="1"/>
    <col min="12777" max="12777" width="8.85546875" style="474"/>
    <col min="12778" max="12778" width="13.140625" style="474" customWidth="1"/>
    <col min="12779" max="12779" width="8.85546875" style="474"/>
    <col min="12780" max="12780" width="11.85546875" style="474" customWidth="1"/>
    <col min="12781" max="12781" width="10.5703125" style="474" customWidth="1"/>
    <col min="12782" max="12782" width="11.42578125" style="474" customWidth="1"/>
    <col min="12783" max="12783" width="8.85546875" style="474"/>
    <col min="12784" max="12784" width="10.42578125" style="474" customWidth="1"/>
    <col min="12785" max="12785" width="10.85546875" style="474" customWidth="1"/>
    <col min="12786" max="12786" width="11.42578125" style="474" customWidth="1"/>
    <col min="12787" max="12787" width="12" style="474" customWidth="1"/>
    <col min="12788" max="12788" width="11.85546875" style="474" customWidth="1"/>
    <col min="12789" max="12789" width="8.5703125" style="474" customWidth="1"/>
    <col min="12790" max="12790" width="11.42578125" style="474" customWidth="1"/>
    <col min="12791" max="12791" width="11" style="474" customWidth="1"/>
    <col min="12792" max="12792" width="11.5703125" style="474" customWidth="1"/>
    <col min="12793" max="12793" width="8.85546875" style="474"/>
    <col min="12794" max="12794" width="11.140625" style="474" customWidth="1"/>
    <col min="12795" max="13029" width="8.85546875" style="474"/>
    <col min="13030" max="13030" width="38.140625" style="474" customWidth="1"/>
    <col min="13031" max="13031" width="11.85546875" style="474" customWidth="1"/>
    <col min="13032" max="13032" width="45.5703125" style="474" customWidth="1"/>
    <col min="13033" max="13033" width="8.85546875" style="474"/>
    <col min="13034" max="13034" width="13.140625" style="474" customWidth="1"/>
    <col min="13035" max="13035" width="8.85546875" style="474"/>
    <col min="13036" max="13036" width="11.85546875" style="474" customWidth="1"/>
    <col min="13037" max="13037" width="10.5703125" style="474" customWidth="1"/>
    <col min="13038" max="13038" width="11.42578125" style="474" customWidth="1"/>
    <col min="13039" max="13039" width="8.85546875" style="474"/>
    <col min="13040" max="13040" width="10.42578125" style="474" customWidth="1"/>
    <col min="13041" max="13041" width="10.85546875" style="474" customWidth="1"/>
    <col min="13042" max="13042" width="11.42578125" style="474" customWidth="1"/>
    <col min="13043" max="13043" width="12" style="474" customWidth="1"/>
    <col min="13044" max="13044" width="11.85546875" style="474" customWidth="1"/>
    <col min="13045" max="13045" width="8.5703125" style="474" customWidth="1"/>
    <col min="13046" max="13046" width="11.42578125" style="474" customWidth="1"/>
    <col min="13047" max="13047" width="11" style="474" customWidth="1"/>
    <col min="13048" max="13048" width="11.5703125" style="474" customWidth="1"/>
    <col min="13049" max="13049" width="8.85546875" style="474"/>
    <col min="13050" max="13050" width="11.140625" style="474" customWidth="1"/>
    <col min="13051" max="13285" width="8.85546875" style="474"/>
    <col min="13286" max="13286" width="38.140625" style="474" customWidth="1"/>
    <col min="13287" max="13287" width="11.85546875" style="474" customWidth="1"/>
    <col min="13288" max="13288" width="45.5703125" style="474" customWidth="1"/>
    <col min="13289" max="13289" width="8.85546875" style="474"/>
    <col min="13290" max="13290" width="13.140625" style="474" customWidth="1"/>
    <col min="13291" max="13291" width="8.85546875" style="474"/>
    <col min="13292" max="13292" width="11.85546875" style="474" customWidth="1"/>
    <col min="13293" max="13293" width="10.5703125" style="474" customWidth="1"/>
    <col min="13294" max="13294" width="11.42578125" style="474" customWidth="1"/>
    <col min="13295" max="13295" width="8.85546875" style="474"/>
    <col min="13296" max="13296" width="10.42578125" style="474" customWidth="1"/>
    <col min="13297" max="13297" width="10.85546875" style="474" customWidth="1"/>
    <col min="13298" max="13298" width="11.42578125" style="474" customWidth="1"/>
    <col min="13299" max="13299" width="12" style="474" customWidth="1"/>
    <col min="13300" max="13300" width="11.85546875" style="474" customWidth="1"/>
    <col min="13301" max="13301" width="8.5703125" style="474" customWidth="1"/>
    <col min="13302" max="13302" width="11.42578125" style="474" customWidth="1"/>
    <col min="13303" max="13303" width="11" style="474" customWidth="1"/>
    <col min="13304" max="13304" width="11.5703125" style="474" customWidth="1"/>
    <col min="13305" max="13305" width="8.85546875" style="474"/>
    <col min="13306" max="13306" width="11.140625" style="474" customWidth="1"/>
    <col min="13307" max="13541" width="8.85546875" style="474"/>
    <col min="13542" max="13542" width="38.140625" style="474" customWidth="1"/>
    <col min="13543" max="13543" width="11.85546875" style="474" customWidth="1"/>
    <col min="13544" max="13544" width="45.5703125" style="474" customWidth="1"/>
    <col min="13545" max="13545" width="8.85546875" style="474"/>
    <col min="13546" max="13546" width="13.140625" style="474" customWidth="1"/>
    <col min="13547" max="13547" width="8.85546875" style="474"/>
    <col min="13548" max="13548" width="11.85546875" style="474" customWidth="1"/>
    <col min="13549" max="13549" width="10.5703125" style="474" customWidth="1"/>
    <col min="13550" max="13550" width="11.42578125" style="474" customWidth="1"/>
    <col min="13551" max="13551" width="8.85546875" style="474"/>
    <col min="13552" max="13552" width="10.42578125" style="474" customWidth="1"/>
    <col min="13553" max="13553" width="10.85546875" style="474" customWidth="1"/>
    <col min="13554" max="13554" width="11.42578125" style="474" customWidth="1"/>
    <col min="13555" max="13555" width="12" style="474" customWidth="1"/>
    <col min="13556" max="13556" width="11.85546875" style="474" customWidth="1"/>
    <col min="13557" max="13557" width="8.5703125" style="474" customWidth="1"/>
    <col min="13558" max="13558" width="11.42578125" style="474" customWidth="1"/>
    <col min="13559" max="13559" width="11" style="474" customWidth="1"/>
    <col min="13560" max="13560" width="11.5703125" style="474" customWidth="1"/>
    <col min="13561" max="13561" width="8.85546875" style="474"/>
    <col min="13562" max="13562" width="11.140625" style="474" customWidth="1"/>
    <col min="13563" max="13797" width="8.85546875" style="474"/>
    <col min="13798" max="13798" width="38.140625" style="474" customWidth="1"/>
    <col min="13799" max="13799" width="11.85546875" style="474" customWidth="1"/>
    <col min="13800" max="13800" width="45.5703125" style="474" customWidth="1"/>
    <col min="13801" max="13801" width="8.85546875" style="474"/>
    <col min="13802" max="13802" width="13.140625" style="474" customWidth="1"/>
    <col min="13803" max="13803" width="8.85546875" style="474"/>
    <col min="13804" max="13804" width="11.85546875" style="474" customWidth="1"/>
    <col min="13805" max="13805" width="10.5703125" style="474" customWidth="1"/>
    <col min="13806" max="13806" width="11.42578125" style="474" customWidth="1"/>
    <col min="13807" max="13807" width="8.85546875" style="474"/>
    <col min="13808" max="13808" width="10.42578125" style="474" customWidth="1"/>
    <col min="13809" max="13809" width="10.85546875" style="474" customWidth="1"/>
    <col min="13810" max="13810" width="11.42578125" style="474" customWidth="1"/>
    <col min="13811" max="13811" width="12" style="474" customWidth="1"/>
    <col min="13812" max="13812" width="11.85546875" style="474" customWidth="1"/>
    <col min="13813" max="13813" width="8.5703125" style="474" customWidth="1"/>
    <col min="13814" max="13814" width="11.42578125" style="474" customWidth="1"/>
    <col min="13815" max="13815" width="11" style="474" customWidth="1"/>
    <col min="13816" max="13816" width="11.5703125" style="474" customWidth="1"/>
    <col min="13817" max="13817" width="8.85546875" style="474"/>
    <col min="13818" max="13818" width="11.140625" style="474" customWidth="1"/>
    <col min="13819" max="14053" width="8.85546875" style="474"/>
    <col min="14054" max="14054" width="38.140625" style="474" customWidth="1"/>
    <col min="14055" max="14055" width="11.85546875" style="474" customWidth="1"/>
    <col min="14056" max="14056" width="45.5703125" style="474" customWidth="1"/>
    <col min="14057" max="14057" width="8.85546875" style="474"/>
    <col min="14058" max="14058" width="13.140625" style="474" customWidth="1"/>
    <col min="14059" max="14059" width="8.85546875" style="474"/>
    <col min="14060" max="14060" width="11.85546875" style="474" customWidth="1"/>
    <col min="14061" max="14061" width="10.5703125" style="474" customWidth="1"/>
    <col min="14062" max="14062" width="11.42578125" style="474" customWidth="1"/>
    <col min="14063" max="14063" width="8.85546875" style="474"/>
    <col min="14064" max="14064" width="10.42578125" style="474" customWidth="1"/>
    <col min="14065" max="14065" width="10.85546875" style="474" customWidth="1"/>
    <col min="14066" max="14066" width="11.42578125" style="474" customWidth="1"/>
    <col min="14067" max="14067" width="12" style="474" customWidth="1"/>
    <col min="14068" max="14068" width="11.85546875" style="474" customWidth="1"/>
    <col min="14069" max="14069" width="8.5703125" style="474" customWidth="1"/>
    <col min="14070" max="14070" width="11.42578125" style="474" customWidth="1"/>
    <col min="14071" max="14071" width="11" style="474" customWidth="1"/>
    <col min="14072" max="14072" width="11.5703125" style="474" customWidth="1"/>
    <col min="14073" max="14073" width="8.85546875" style="474"/>
    <col min="14074" max="14074" width="11.140625" style="474" customWidth="1"/>
    <col min="14075" max="14309" width="8.85546875" style="474"/>
    <col min="14310" max="14310" width="38.140625" style="474" customWidth="1"/>
    <col min="14311" max="14311" width="11.85546875" style="474" customWidth="1"/>
    <col min="14312" max="14312" width="45.5703125" style="474" customWidth="1"/>
    <col min="14313" max="14313" width="8.85546875" style="474"/>
    <col min="14314" max="14314" width="13.140625" style="474" customWidth="1"/>
    <col min="14315" max="14315" width="8.85546875" style="474"/>
    <col min="14316" max="14316" width="11.85546875" style="474" customWidth="1"/>
    <col min="14317" max="14317" width="10.5703125" style="474" customWidth="1"/>
    <col min="14318" max="14318" width="11.42578125" style="474" customWidth="1"/>
    <col min="14319" max="14319" width="8.85546875" style="474"/>
    <col min="14320" max="14320" width="10.42578125" style="474" customWidth="1"/>
    <col min="14321" max="14321" width="10.85546875" style="474" customWidth="1"/>
    <col min="14322" max="14322" width="11.42578125" style="474" customWidth="1"/>
    <col min="14323" max="14323" width="12" style="474" customWidth="1"/>
    <col min="14324" max="14324" width="11.85546875" style="474" customWidth="1"/>
    <col min="14325" max="14325" width="8.5703125" style="474" customWidth="1"/>
    <col min="14326" max="14326" width="11.42578125" style="474" customWidth="1"/>
    <col min="14327" max="14327" width="11" style="474" customWidth="1"/>
    <col min="14328" max="14328" width="11.5703125" style="474" customWidth="1"/>
    <col min="14329" max="14329" width="8.85546875" style="474"/>
    <col min="14330" max="14330" width="11.140625" style="474" customWidth="1"/>
    <col min="14331" max="14565" width="8.85546875" style="474"/>
    <col min="14566" max="14566" width="38.140625" style="474" customWidth="1"/>
    <col min="14567" max="14567" width="11.85546875" style="474" customWidth="1"/>
    <col min="14568" max="14568" width="45.5703125" style="474" customWidth="1"/>
    <col min="14569" max="14569" width="8.85546875" style="474"/>
    <col min="14570" max="14570" width="13.140625" style="474" customWidth="1"/>
    <col min="14571" max="14571" width="8.85546875" style="474"/>
    <col min="14572" max="14572" width="11.85546875" style="474" customWidth="1"/>
    <col min="14573" max="14573" width="10.5703125" style="474" customWidth="1"/>
    <col min="14574" max="14574" width="11.42578125" style="474" customWidth="1"/>
    <col min="14575" max="14575" width="8.85546875" style="474"/>
    <col min="14576" max="14576" width="10.42578125" style="474" customWidth="1"/>
    <col min="14577" max="14577" width="10.85546875" style="474" customWidth="1"/>
    <col min="14578" max="14578" width="11.42578125" style="474" customWidth="1"/>
    <col min="14579" max="14579" width="12" style="474" customWidth="1"/>
    <col min="14580" max="14580" width="11.85546875" style="474" customWidth="1"/>
    <col min="14581" max="14581" width="8.5703125" style="474" customWidth="1"/>
    <col min="14582" max="14582" width="11.42578125" style="474" customWidth="1"/>
    <col min="14583" max="14583" width="11" style="474" customWidth="1"/>
    <col min="14584" max="14584" width="11.5703125" style="474" customWidth="1"/>
    <col min="14585" max="14585" width="8.85546875" style="474"/>
    <col min="14586" max="14586" width="11.140625" style="474" customWidth="1"/>
    <col min="14587" max="14821" width="8.85546875" style="474"/>
    <col min="14822" max="14822" width="38.140625" style="474" customWidth="1"/>
    <col min="14823" max="14823" width="11.85546875" style="474" customWidth="1"/>
    <col min="14824" max="14824" width="45.5703125" style="474" customWidth="1"/>
    <col min="14825" max="14825" width="8.85546875" style="474"/>
    <col min="14826" max="14826" width="13.140625" style="474" customWidth="1"/>
    <col min="14827" max="14827" width="8.85546875" style="474"/>
    <col min="14828" max="14828" width="11.85546875" style="474" customWidth="1"/>
    <col min="14829" max="14829" width="10.5703125" style="474" customWidth="1"/>
    <col min="14830" max="14830" width="11.42578125" style="474" customWidth="1"/>
    <col min="14831" max="14831" width="8.85546875" style="474"/>
    <col min="14832" max="14832" width="10.42578125" style="474" customWidth="1"/>
    <col min="14833" max="14833" width="10.85546875" style="474" customWidth="1"/>
    <col min="14834" max="14834" width="11.42578125" style="474" customWidth="1"/>
    <col min="14835" max="14835" width="12" style="474" customWidth="1"/>
    <col min="14836" max="14836" width="11.85546875" style="474" customWidth="1"/>
    <col min="14837" max="14837" width="8.5703125" style="474" customWidth="1"/>
    <col min="14838" max="14838" width="11.42578125" style="474" customWidth="1"/>
    <col min="14839" max="14839" width="11" style="474" customWidth="1"/>
    <col min="14840" max="14840" width="11.5703125" style="474" customWidth="1"/>
    <col min="14841" max="14841" width="8.85546875" style="474"/>
    <col min="14842" max="14842" width="11.140625" style="474" customWidth="1"/>
    <col min="14843" max="15077" width="8.85546875" style="474"/>
    <col min="15078" max="15078" width="38.140625" style="474" customWidth="1"/>
    <col min="15079" max="15079" width="11.85546875" style="474" customWidth="1"/>
    <col min="15080" max="15080" width="45.5703125" style="474" customWidth="1"/>
    <col min="15081" max="15081" width="8.85546875" style="474"/>
    <col min="15082" max="15082" width="13.140625" style="474" customWidth="1"/>
    <col min="15083" max="15083" width="8.85546875" style="474"/>
    <col min="15084" max="15084" width="11.85546875" style="474" customWidth="1"/>
    <col min="15085" max="15085" width="10.5703125" style="474" customWidth="1"/>
    <col min="15086" max="15086" width="11.42578125" style="474" customWidth="1"/>
    <col min="15087" max="15087" width="8.85546875" style="474"/>
    <col min="15088" max="15088" width="10.42578125" style="474" customWidth="1"/>
    <col min="15089" max="15089" width="10.85546875" style="474" customWidth="1"/>
    <col min="15090" max="15090" width="11.42578125" style="474" customWidth="1"/>
    <col min="15091" max="15091" width="12" style="474" customWidth="1"/>
    <col min="15092" max="15092" width="11.85546875" style="474" customWidth="1"/>
    <col min="15093" max="15093" width="8.5703125" style="474" customWidth="1"/>
    <col min="15094" max="15094" width="11.42578125" style="474" customWidth="1"/>
    <col min="15095" max="15095" width="11" style="474" customWidth="1"/>
    <col min="15096" max="15096" width="11.5703125" style="474" customWidth="1"/>
    <col min="15097" max="15097" width="8.85546875" style="474"/>
    <col min="15098" max="15098" width="11.140625" style="474" customWidth="1"/>
    <col min="15099" max="15333" width="8.85546875" style="474"/>
    <col min="15334" max="15334" width="38.140625" style="474" customWidth="1"/>
    <col min="15335" max="15335" width="11.85546875" style="474" customWidth="1"/>
    <col min="15336" max="15336" width="45.5703125" style="474" customWidth="1"/>
    <col min="15337" max="15337" width="8.85546875" style="474"/>
    <col min="15338" max="15338" width="13.140625" style="474" customWidth="1"/>
    <col min="15339" max="15339" width="8.85546875" style="474"/>
    <col min="15340" max="15340" width="11.85546875" style="474" customWidth="1"/>
    <col min="15341" max="15341" width="10.5703125" style="474" customWidth="1"/>
    <col min="15342" max="15342" width="11.42578125" style="474" customWidth="1"/>
    <col min="15343" max="15343" width="8.85546875" style="474"/>
    <col min="15344" max="15344" width="10.42578125" style="474" customWidth="1"/>
    <col min="15345" max="15345" width="10.85546875" style="474" customWidth="1"/>
    <col min="15346" max="15346" width="11.42578125" style="474" customWidth="1"/>
    <col min="15347" max="15347" width="12" style="474" customWidth="1"/>
    <col min="15348" max="15348" width="11.85546875" style="474" customWidth="1"/>
    <col min="15349" max="15349" width="8.5703125" style="474" customWidth="1"/>
    <col min="15350" max="15350" width="11.42578125" style="474" customWidth="1"/>
    <col min="15351" max="15351" width="11" style="474" customWidth="1"/>
    <col min="15352" max="15352" width="11.5703125" style="474" customWidth="1"/>
    <col min="15353" max="15353" width="8.85546875" style="474"/>
    <col min="15354" max="15354" width="11.140625" style="474" customWidth="1"/>
    <col min="15355" max="15589" width="8.85546875" style="474"/>
    <col min="15590" max="15590" width="38.140625" style="474" customWidth="1"/>
    <col min="15591" max="15591" width="11.85546875" style="474" customWidth="1"/>
    <col min="15592" max="15592" width="45.5703125" style="474" customWidth="1"/>
    <col min="15593" max="15593" width="8.85546875" style="474"/>
    <col min="15594" max="15594" width="13.140625" style="474" customWidth="1"/>
    <col min="15595" max="15595" width="8.85546875" style="474"/>
    <col min="15596" max="15596" width="11.85546875" style="474" customWidth="1"/>
    <col min="15597" max="15597" width="10.5703125" style="474" customWidth="1"/>
    <col min="15598" max="15598" width="11.42578125" style="474" customWidth="1"/>
    <col min="15599" max="15599" width="8.85546875" style="474"/>
    <col min="15600" max="15600" width="10.42578125" style="474" customWidth="1"/>
    <col min="15601" max="15601" width="10.85546875" style="474" customWidth="1"/>
    <col min="15602" max="15602" width="11.42578125" style="474" customWidth="1"/>
    <col min="15603" max="15603" width="12" style="474" customWidth="1"/>
    <col min="15604" max="15604" width="11.85546875" style="474" customWidth="1"/>
    <col min="15605" max="15605" width="8.5703125" style="474" customWidth="1"/>
    <col min="15606" max="15606" width="11.42578125" style="474" customWidth="1"/>
    <col min="15607" max="15607" width="11" style="474" customWidth="1"/>
    <col min="15608" max="15608" width="11.5703125" style="474" customWidth="1"/>
    <col min="15609" max="15609" width="8.85546875" style="474"/>
    <col min="15610" max="15610" width="11.140625" style="474" customWidth="1"/>
    <col min="15611" max="15845" width="8.85546875" style="474"/>
    <col min="15846" max="15846" width="38.140625" style="474" customWidth="1"/>
    <col min="15847" max="15847" width="11.85546875" style="474" customWidth="1"/>
    <col min="15848" max="15848" width="45.5703125" style="474" customWidth="1"/>
    <col min="15849" max="15849" width="8.85546875" style="474"/>
    <col min="15850" max="15850" width="13.140625" style="474" customWidth="1"/>
    <col min="15851" max="15851" width="8.85546875" style="474"/>
    <col min="15852" max="15852" width="11.85546875" style="474" customWidth="1"/>
    <col min="15853" max="15853" width="10.5703125" style="474" customWidth="1"/>
    <col min="15854" max="15854" width="11.42578125" style="474" customWidth="1"/>
    <col min="15855" max="15855" width="8.85546875" style="474"/>
    <col min="15856" max="15856" width="10.42578125" style="474" customWidth="1"/>
    <col min="15857" max="15857" width="10.85546875" style="474" customWidth="1"/>
    <col min="15858" max="15858" width="11.42578125" style="474" customWidth="1"/>
    <col min="15859" max="15859" width="12" style="474" customWidth="1"/>
    <col min="15860" max="15860" width="11.85546875" style="474" customWidth="1"/>
    <col min="15861" max="15861" width="8.5703125" style="474" customWidth="1"/>
    <col min="15862" max="15862" width="11.42578125" style="474" customWidth="1"/>
    <col min="15863" max="15863" width="11" style="474" customWidth="1"/>
    <col min="15864" max="15864" width="11.5703125" style="474" customWidth="1"/>
    <col min="15865" max="15865" width="8.85546875" style="474"/>
    <col min="15866" max="15866" width="11.140625" style="474" customWidth="1"/>
    <col min="15867" max="16101" width="8.85546875" style="474"/>
    <col min="16102" max="16102" width="38.140625" style="474" customWidth="1"/>
    <col min="16103" max="16103" width="11.85546875" style="474" customWidth="1"/>
    <col min="16104" max="16104" width="45.5703125" style="474" customWidth="1"/>
    <col min="16105" max="16105" width="8.85546875" style="474"/>
    <col min="16106" max="16106" width="13.140625" style="474" customWidth="1"/>
    <col min="16107" max="16107" width="8.85546875" style="474"/>
    <col min="16108" max="16108" width="11.85546875" style="474" customWidth="1"/>
    <col min="16109" max="16109" width="10.5703125" style="474" customWidth="1"/>
    <col min="16110" max="16110" width="11.42578125" style="474" customWidth="1"/>
    <col min="16111" max="16111" width="8.85546875" style="474"/>
    <col min="16112" max="16112" width="10.42578125" style="474" customWidth="1"/>
    <col min="16113" max="16113" width="10.85546875" style="474" customWidth="1"/>
    <col min="16114" max="16114" width="11.42578125" style="474" customWidth="1"/>
    <col min="16115" max="16115" width="12" style="474" customWidth="1"/>
    <col min="16116" max="16116" width="11.85546875" style="474" customWidth="1"/>
    <col min="16117" max="16117" width="8.5703125" style="474" customWidth="1"/>
    <col min="16118" max="16118" width="11.42578125" style="474" customWidth="1"/>
    <col min="16119" max="16119" width="11" style="474" customWidth="1"/>
    <col min="16120" max="16120" width="11.5703125" style="474" customWidth="1"/>
    <col min="16121" max="16121" width="8.85546875" style="474"/>
    <col min="16122" max="16122" width="11.140625" style="474" customWidth="1"/>
    <col min="16123" max="16376" width="8.85546875" style="474"/>
    <col min="16377" max="16384" width="9" style="474" customWidth="1"/>
  </cols>
  <sheetData>
    <row r="1" spans="1:19" s="1" customFormat="1">
      <c r="A1" s="561" t="s">
        <v>1035</v>
      </c>
      <c r="B1" s="561"/>
      <c r="C1" s="422"/>
      <c r="D1" s="422"/>
      <c r="E1" s="423"/>
      <c r="F1" s="424"/>
      <c r="G1" s="424"/>
      <c r="H1" s="424"/>
      <c r="I1" s="424"/>
      <c r="J1" s="425"/>
      <c r="K1" s="425"/>
      <c r="L1" s="424"/>
      <c r="M1" s="424"/>
      <c r="N1" s="424"/>
      <c r="O1" s="424"/>
      <c r="P1" s="424"/>
      <c r="Q1" s="424"/>
    </row>
    <row r="2" spans="1:19" s="1" customFormat="1" ht="22.5">
      <c r="A2" s="562" t="s">
        <v>1039</v>
      </c>
      <c r="B2" s="562"/>
      <c r="C2" s="2"/>
      <c r="D2" s="426" t="s">
        <v>901</v>
      </c>
      <c r="E2" s="2"/>
      <c r="F2" s="424"/>
      <c r="G2" s="424"/>
      <c r="H2" s="424"/>
      <c r="I2" s="424"/>
      <c r="J2" s="425"/>
      <c r="K2" s="425"/>
      <c r="L2" s="424"/>
      <c r="M2" s="424"/>
      <c r="N2" s="424"/>
      <c r="O2" s="424"/>
      <c r="P2" s="424"/>
      <c r="Q2" s="424"/>
    </row>
    <row r="3" spans="1:19" s="1" customFormat="1">
      <c r="A3" s="509" t="s">
        <v>1040</v>
      </c>
      <c r="B3" s="509"/>
      <c r="C3" s="509"/>
      <c r="D3" s="509"/>
      <c r="E3" s="509"/>
      <c r="F3" s="509"/>
      <c r="G3" s="509"/>
      <c r="H3" s="509"/>
      <c r="I3" s="509"/>
      <c r="J3" s="509"/>
      <c r="K3" s="509"/>
      <c r="L3" s="509"/>
      <c r="M3" s="509"/>
      <c r="N3" s="509"/>
      <c r="O3" s="509"/>
      <c r="P3" s="509"/>
      <c r="Q3" s="509"/>
    </row>
    <row r="4" spans="1:19" s="1" customFormat="1">
      <c r="A4" s="510" t="s">
        <v>1037</v>
      </c>
      <c r="B4" s="510"/>
      <c r="C4" s="510"/>
      <c r="D4" s="510"/>
      <c r="E4" s="510"/>
      <c r="F4" s="510"/>
      <c r="G4" s="510"/>
      <c r="H4" s="510"/>
      <c r="I4" s="510"/>
      <c r="J4" s="510"/>
      <c r="K4" s="510"/>
      <c r="L4" s="510"/>
      <c r="M4" s="510"/>
      <c r="N4" s="510"/>
      <c r="O4" s="510"/>
      <c r="P4" s="510"/>
      <c r="Q4" s="510"/>
    </row>
    <row r="5" spans="1:19" s="1" customFormat="1" ht="28.5" customHeight="1">
      <c r="A5" s="541" t="s">
        <v>0</v>
      </c>
      <c r="B5" s="541"/>
      <c r="C5" s="542"/>
      <c r="D5" s="541"/>
      <c r="E5" s="541"/>
      <c r="F5" s="541"/>
      <c r="G5" s="541"/>
      <c r="H5" s="541"/>
      <c r="I5" s="541"/>
      <c r="J5" s="541"/>
      <c r="K5" s="541"/>
      <c r="L5" s="541"/>
      <c r="M5" s="541"/>
      <c r="N5" s="541"/>
      <c r="O5" s="541"/>
      <c r="P5" s="541"/>
      <c r="Q5" s="541"/>
    </row>
    <row r="6" spans="1:19" s="428" customFormat="1" ht="14.25" customHeight="1">
      <c r="A6" s="539" t="s">
        <v>1</v>
      </c>
      <c r="B6" s="540" t="s">
        <v>2</v>
      </c>
      <c r="C6" s="540" t="s">
        <v>3</v>
      </c>
      <c r="D6" s="540" t="s">
        <v>4</v>
      </c>
      <c r="E6" s="540" t="s">
        <v>6</v>
      </c>
      <c r="F6" s="540"/>
      <c r="G6" s="540"/>
      <c r="H6" s="540"/>
      <c r="I6" s="540"/>
      <c r="J6" s="540"/>
      <c r="K6" s="543" t="s">
        <v>1041</v>
      </c>
      <c r="L6" s="543" t="s">
        <v>985</v>
      </c>
      <c r="M6" s="546" t="s">
        <v>1042</v>
      </c>
      <c r="N6" s="547"/>
      <c r="O6" s="548"/>
      <c r="P6" s="543" t="s">
        <v>993</v>
      </c>
      <c r="Q6" s="540" t="s">
        <v>109</v>
      </c>
    </row>
    <row r="7" spans="1:19" s="429" customFormat="1" ht="34.5" customHeight="1">
      <c r="A7" s="539"/>
      <c r="B7" s="540"/>
      <c r="C7" s="540"/>
      <c r="D7" s="540"/>
      <c r="E7" s="540"/>
      <c r="F7" s="540"/>
      <c r="G7" s="540"/>
      <c r="H7" s="540"/>
      <c r="I7" s="540"/>
      <c r="J7" s="540"/>
      <c r="K7" s="544"/>
      <c r="L7" s="544"/>
      <c r="M7" s="549"/>
      <c r="N7" s="550"/>
      <c r="O7" s="551"/>
      <c r="P7" s="544"/>
      <c r="Q7" s="540"/>
    </row>
    <row r="8" spans="1:19" s="429" customFormat="1" ht="12">
      <c r="A8" s="539"/>
      <c r="B8" s="540"/>
      <c r="C8" s="540"/>
      <c r="D8" s="540"/>
      <c r="E8" s="540" t="s">
        <v>10</v>
      </c>
      <c r="F8" s="540" t="s">
        <v>11</v>
      </c>
      <c r="G8" s="540" t="s">
        <v>12</v>
      </c>
      <c r="H8" s="540"/>
      <c r="I8" s="540"/>
      <c r="J8" s="540"/>
      <c r="K8" s="544"/>
      <c r="L8" s="544"/>
      <c r="M8" s="540" t="s">
        <v>112</v>
      </c>
      <c r="N8" s="540" t="s">
        <v>111</v>
      </c>
      <c r="O8" s="540"/>
      <c r="P8" s="544"/>
      <c r="Q8" s="540"/>
    </row>
    <row r="9" spans="1:19" s="429" customFormat="1" ht="27" customHeight="1">
      <c r="A9" s="539"/>
      <c r="B9" s="540"/>
      <c r="C9" s="540"/>
      <c r="D9" s="540"/>
      <c r="E9" s="540"/>
      <c r="F9" s="540"/>
      <c r="G9" s="540" t="s">
        <v>13</v>
      </c>
      <c r="H9" s="540" t="s">
        <v>14</v>
      </c>
      <c r="I9" s="540"/>
      <c r="J9" s="540"/>
      <c r="K9" s="544"/>
      <c r="L9" s="544"/>
      <c r="M9" s="540"/>
      <c r="N9" s="540" t="s">
        <v>1043</v>
      </c>
      <c r="O9" s="540" t="s">
        <v>1044</v>
      </c>
      <c r="P9" s="544"/>
      <c r="Q9" s="540"/>
    </row>
    <row r="10" spans="1:19" s="429" customFormat="1" ht="24">
      <c r="A10" s="539"/>
      <c r="B10" s="540"/>
      <c r="C10" s="540"/>
      <c r="D10" s="540"/>
      <c r="E10" s="540"/>
      <c r="F10" s="540"/>
      <c r="G10" s="540"/>
      <c r="H10" s="427" t="s">
        <v>17</v>
      </c>
      <c r="I10" s="427" t="s">
        <v>15</v>
      </c>
      <c r="J10" s="427" t="s">
        <v>1045</v>
      </c>
      <c r="K10" s="545"/>
      <c r="L10" s="545"/>
      <c r="M10" s="540"/>
      <c r="N10" s="540"/>
      <c r="O10" s="540"/>
      <c r="P10" s="545"/>
      <c r="Q10" s="540"/>
    </row>
    <row r="11" spans="1:19" s="432" customFormat="1" ht="10.5">
      <c r="A11" s="430">
        <v>1</v>
      </c>
      <c r="B11" s="431">
        <v>2</v>
      </c>
      <c r="C11" s="430">
        <v>3</v>
      </c>
      <c r="D11" s="431">
        <v>4</v>
      </c>
      <c r="E11" s="431">
        <v>6</v>
      </c>
      <c r="F11" s="430">
        <v>7</v>
      </c>
      <c r="G11" s="431">
        <v>8</v>
      </c>
      <c r="H11" s="430">
        <v>9</v>
      </c>
      <c r="I11" s="431">
        <v>10</v>
      </c>
      <c r="J11" s="430">
        <v>11</v>
      </c>
      <c r="K11" s="430"/>
      <c r="L11" s="430"/>
      <c r="M11" s="430">
        <v>17</v>
      </c>
      <c r="N11" s="431">
        <v>18</v>
      </c>
      <c r="O11" s="430">
        <v>19</v>
      </c>
      <c r="P11" s="430"/>
      <c r="Q11" s="430">
        <v>23</v>
      </c>
    </row>
    <row r="12" spans="1:19" s="435" customFormat="1" ht="14.25">
      <c r="A12" s="433"/>
      <c r="B12" s="421" t="s">
        <v>18</v>
      </c>
      <c r="C12" s="421"/>
      <c r="D12" s="421"/>
      <c r="E12" s="421"/>
      <c r="F12" s="421"/>
      <c r="G12" s="434">
        <f t="shared" ref="G12:O12" si="0">+G13+G38+G40+G43+G49+G55+G57</f>
        <v>352820</v>
      </c>
      <c r="H12" s="434">
        <f t="shared" si="0"/>
        <v>115600</v>
      </c>
      <c r="I12" s="434">
        <f t="shared" si="0"/>
        <v>237220</v>
      </c>
      <c r="J12" s="434">
        <f t="shared" si="0"/>
        <v>0</v>
      </c>
      <c r="K12" s="434">
        <f t="shared" si="0"/>
        <v>84658</v>
      </c>
      <c r="L12" s="434">
        <f t="shared" si="0"/>
        <v>0</v>
      </c>
      <c r="M12" s="434">
        <f t="shared" si="0"/>
        <v>224720</v>
      </c>
      <c r="N12" s="434">
        <f t="shared" si="0"/>
        <v>146720</v>
      </c>
      <c r="O12" s="434">
        <f t="shared" si="0"/>
        <v>78000</v>
      </c>
      <c r="P12" s="434"/>
      <c r="Q12" s="421"/>
      <c r="R12" s="435">
        <f>+M12+'Phụ lục 4'!N12</f>
        <v>231220</v>
      </c>
    </row>
    <row r="13" spans="1:19" s="441" customFormat="1" ht="14.25">
      <c r="A13" s="436" t="s">
        <v>20</v>
      </c>
      <c r="B13" s="461" t="s">
        <v>1046</v>
      </c>
      <c r="C13" s="438"/>
      <c r="D13" s="438"/>
      <c r="E13" s="439"/>
      <c r="F13" s="421"/>
      <c r="G13" s="455">
        <f>SUM(G14:G37)</f>
        <v>177520</v>
      </c>
      <c r="H13" s="455">
        <f t="shared" ref="H13:P13" si="1">SUM(H14:H37)</f>
        <v>41600</v>
      </c>
      <c r="I13" s="455">
        <f t="shared" si="1"/>
        <v>135920</v>
      </c>
      <c r="J13" s="455">
        <f t="shared" si="1"/>
        <v>0</v>
      </c>
      <c r="K13" s="455">
        <f t="shared" si="1"/>
        <v>26358</v>
      </c>
      <c r="L13" s="455">
        <f t="shared" si="1"/>
        <v>0</v>
      </c>
      <c r="M13" s="455">
        <f>SUM(M14:M37)</f>
        <v>123420</v>
      </c>
      <c r="N13" s="455">
        <f t="shared" si="1"/>
        <v>45420</v>
      </c>
      <c r="O13" s="455">
        <f t="shared" si="1"/>
        <v>78000</v>
      </c>
      <c r="P13" s="455">
        <f t="shared" si="1"/>
        <v>26358</v>
      </c>
      <c r="Q13" s="439"/>
      <c r="S13" s="435"/>
    </row>
    <row r="14" spans="1:19" s="372" customFormat="1" ht="30">
      <c r="A14" s="451">
        <v>1</v>
      </c>
      <c r="B14" s="460" t="s">
        <v>1025</v>
      </c>
      <c r="C14" s="444" t="s">
        <v>42</v>
      </c>
      <c r="D14" s="444"/>
      <c r="E14" s="445"/>
      <c r="F14" s="457" t="s">
        <v>34</v>
      </c>
      <c r="G14" s="447">
        <v>15000</v>
      </c>
      <c r="H14" s="447"/>
      <c r="I14" s="447">
        <v>15000</v>
      </c>
      <c r="J14" s="447"/>
      <c r="K14" s="447"/>
      <c r="L14" s="447"/>
      <c r="M14" s="447">
        <f t="shared" ref="M14:M37" si="2">+N14+O14</f>
        <v>9000</v>
      </c>
      <c r="N14" s="447"/>
      <c r="O14" s="447">
        <v>9000</v>
      </c>
      <c r="P14" s="447"/>
      <c r="Q14" s="445"/>
      <c r="S14" s="435"/>
    </row>
    <row r="15" spans="1:19" s="372" customFormat="1" ht="30">
      <c r="A15" s="451">
        <v>2</v>
      </c>
      <c r="B15" s="460" t="s">
        <v>1047</v>
      </c>
      <c r="C15" s="444" t="s">
        <v>39</v>
      </c>
      <c r="D15" s="444"/>
      <c r="E15" s="445"/>
      <c r="F15" s="457" t="s">
        <v>34</v>
      </c>
      <c r="G15" s="447">
        <v>1200</v>
      </c>
      <c r="H15" s="447"/>
      <c r="I15" s="447">
        <f>+G15-H15</f>
        <v>1200</v>
      </c>
      <c r="J15" s="447"/>
      <c r="K15" s="447">
        <v>1200</v>
      </c>
      <c r="L15" s="447"/>
      <c r="M15" s="447">
        <f t="shared" si="2"/>
        <v>1200</v>
      </c>
      <c r="N15" s="447"/>
      <c r="O15" s="447">
        <v>1200</v>
      </c>
      <c r="P15" s="447">
        <f>+K15</f>
        <v>1200</v>
      </c>
      <c r="Q15" s="445"/>
      <c r="S15" s="435"/>
    </row>
    <row r="16" spans="1:19" s="372" customFormat="1" ht="30">
      <c r="A16" s="451">
        <v>3</v>
      </c>
      <c r="B16" s="460" t="s">
        <v>1048</v>
      </c>
      <c r="C16" s="444" t="s">
        <v>44</v>
      </c>
      <c r="D16" s="444"/>
      <c r="E16" s="445"/>
      <c r="F16" s="457" t="s">
        <v>34</v>
      </c>
      <c r="G16" s="447">
        <v>7500</v>
      </c>
      <c r="H16" s="447"/>
      <c r="I16" s="447">
        <f>+G16-H16</f>
        <v>7500</v>
      </c>
      <c r="J16" s="447"/>
      <c r="K16" s="447">
        <v>7500</v>
      </c>
      <c r="L16" s="447"/>
      <c r="M16" s="447">
        <f t="shared" si="2"/>
        <v>7500</v>
      </c>
      <c r="N16" s="447">
        <v>2000</v>
      </c>
      <c r="O16" s="447">
        <v>5500</v>
      </c>
      <c r="P16" s="447">
        <f>+K16</f>
        <v>7500</v>
      </c>
      <c r="Q16" s="445"/>
      <c r="S16" s="435"/>
    </row>
    <row r="17" spans="1:19" s="372" customFormat="1" ht="30">
      <c r="A17" s="451">
        <v>4</v>
      </c>
      <c r="B17" s="460" t="s">
        <v>1049</v>
      </c>
      <c r="C17" s="444" t="s">
        <v>44</v>
      </c>
      <c r="D17" s="444"/>
      <c r="E17" s="445"/>
      <c r="F17" s="457" t="s">
        <v>34</v>
      </c>
      <c r="G17" s="447">
        <v>700</v>
      </c>
      <c r="H17" s="447"/>
      <c r="I17" s="447">
        <f>+G17-H17</f>
        <v>700</v>
      </c>
      <c r="J17" s="447"/>
      <c r="K17" s="447">
        <v>658</v>
      </c>
      <c r="L17" s="447"/>
      <c r="M17" s="447">
        <f t="shared" si="2"/>
        <v>700</v>
      </c>
      <c r="N17" s="447"/>
      <c r="O17" s="447">
        <v>700</v>
      </c>
      <c r="P17" s="447">
        <f>+K17</f>
        <v>658</v>
      </c>
      <c r="Q17" s="445"/>
      <c r="S17" s="435"/>
    </row>
    <row r="18" spans="1:19" s="372" customFormat="1" ht="30">
      <c r="A18" s="451">
        <v>5</v>
      </c>
      <c r="B18" s="460" t="s">
        <v>1050</v>
      </c>
      <c r="C18" s="444" t="s">
        <v>44</v>
      </c>
      <c r="D18" s="444"/>
      <c r="E18" s="445"/>
      <c r="F18" s="457" t="s">
        <v>34</v>
      </c>
      <c r="G18" s="447">
        <v>7000</v>
      </c>
      <c r="H18" s="447"/>
      <c r="I18" s="447">
        <v>7000</v>
      </c>
      <c r="J18" s="447"/>
      <c r="K18" s="447"/>
      <c r="L18" s="447"/>
      <c r="M18" s="447">
        <f t="shared" si="2"/>
        <v>7000</v>
      </c>
      <c r="N18" s="447"/>
      <c r="O18" s="447">
        <v>7000</v>
      </c>
      <c r="P18" s="447"/>
      <c r="Q18" s="445"/>
      <c r="S18" s="435"/>
    </row>
    <row r="19" spans="1:19" s="372" customFormat="1" ht="30">
      <c r="A19" s="451">
        <v>6</v>
      </c>
      <c r="B19" s="460" t="s">
        <v>1051</v>
      </c>
      <c r="C19" s="444" t="s">
        <v>41</v>
      </c>
      <c r="D19" s="444"/>
      <c r="E19" s="445"/>
      <c r="F19" s="457" t="s">
        <v>34</v>
      </c>
      <c r="G19" s="447">
        <v>7500</v>
      </c>
      <c r="H19" s="447"/>
      <c r="I19" s="447">
        <v>7500</v>
      </c>
      <c r="J19" s="447"/>
      <c r="K19" s="447"/>
      <c r="L19" s="447"/>
      <c r="M19" s="447">
        <f t="shared" si="2"/>
        <v>7500</v>
      </c>
      <c r="N19" s="447">
        <v>5500</v>
      </c>
      <c r="O19" s="447">
        <v>2000</v>
      </c>
      <c r="P19" s="447"/>
      <c r="Q19" s="445"/>
      <c r="S19" s="435"/>
    </row>
    <row r="20" spans="1:19" s="372" customFormat="1" ht="30">
      <c r="A20" s="451">
        <v>7</v>
      </c>
      <c r="B20" s="460" t="s">
        <v>1052</v>
      </c>
      <c r="C20" s="444" t="s">
        <v>41</v>
      </c>
      <c r="D20" s="444"/>
      <c r="E20" s="445"/>
      <c r="F20" s="457" t="s">
        <v>34</v>
      </c>
      <c r="G20" s="447">
        <v>4500</v>
      </c>
      <c r="H20" s="447"/>
      <c r="I20" s="447">
        <v>4500</v>
      </c>
      <c r="J20" s="447"/>
      <c r="K20" s="447"/>
      <c r="L20" s="447"/>
      <c r="M20" s="447">
        <f t="shared" si="2"/>
        <v>4500</v>
      </c>
      <c r="N20" s="447"/>
      <c r="O20" s="447">
        <v>4500</v>
      </c>
      <c r="P20" s="447"/>
      <c r="Q20" s="445"/>
      <c r="S20" s="435"/>
    </row>
    <row r="21" spans="1:19" s="372" customFormat="1" ht="45">
      <c r="A21" s="451">
        <v>8</v>
      </c>
      <c r="B21" s="460" t="s">
        <v>1053</v>
      </c>
      <c r="C21" s="444" t="s">
        <v>41</v>
      </c>
      <c r="D21" s="444"/>
      <c r="E21" s="445"/>
      <c r="F21" s="457" t="s">
        <v>34</v>
      </c>
      <c r="G21" s="447">
        <v>6200</v>
      </c>
      <c r="H21" s="447"/>
      <c r="I21" s="447">
        <v>6200</v>
      </c>
      <c r="J21" s="447"/>
      <c r="K21" s="447"/>
      <c r="L21" s="447"/>
      <c r="M21" s="447">
        <f t="shared" si="2"/>
        <v>6200</v>
      </c>
      <c r="N21" s="447"/>
      <c r="O21" s="447">
        <v>6200</v>
      </c>
      <c r="P21" s="447"/>
      <c r="Q21" s="445"/>
      <c r="S21" s="435"/>
    </row>
    <row r="22" spans="1:19" s="372" customFormat="1" ht="30">
      <c r="A22" s="451">
        <v>9</v>
      </c>
      <c r="B22" s="460" t="s">
        <v>1054</v>
      </c>
      <c r="C22" s="444" t="s">
        <v>40</v>
      </c>
      <c r="D22" s="444"/>
      <c r="E22" s="445"/>
      <c r="F22" s="457" t="s">
        <v>34</v>
      </c>
      <c r="G22" s="447">
        <v>6650</v>
      </c>
      <c r="H22" s="447"/>
      <c r="I22" s="447">
        <v>6650</v>
      </c>
      <c r="J22" s="447"/>
      <c r="K22" s="447"/>
      <c r="L22" s="447"/>
      <c r="M22" s="447">
        <f t="shared" si="2"/>
        <v>6650</v>
      </c>
      <c r="N22" s="447">
        <v>6650</v>
      </c>
      <c r="O22" s="447"/>
      <c r="P22" s="447"/>
      <c r="Q22" s="445"/>
      <c r="S22" s="435"/>
    </row>
    <row r="23" spans="1:19" s="372" customFormat="1" ht="30">
      <c r="A23" s="451">
        <v>10</v>
      </c>
      <c r="B23" s="460" t="s">
        <v>1055</v>
      </c>
      <c r="C23" s="444" t="s">
        <v>45</v>
      </c>
      <c r="D23" s="444"/>
      <c r="E23" s="445"/>
      <c r="F23" s="457" t="s">
        <v>34</v>
      </c>
      <c r="G23" s="447">
        <v>5000</v>
      </c>
      <c r="H23" s="447"/>
      <c r="I23" s="447">
        <v>5000</v>
      </c>
      <c r="J23" s="447"/>
      <c r="K23" s="447"/>
      <c r="L23" s="447"/>
      <c r="M23" s="447">
        <f t="shared" si="2"/>
        <v>5000</v>
      </c>
      <c r="N23" s="447"/>
      <c r="O23" s="447">
        <v>5000</v>
      </c>
      <c r="P23" s="447"/>
      <c r="Q23" s="445"/>
      <c r="S23" s="435"/>
    </row>
    <row r="24" spans="1:19" s="372" customFormat="1" ht="60">
      <c r="A24" s="451">
        <v>11</v>
      </c>
      <c r="B24" s="460" t="s">
        <v>1056</v>
      </c>
      <c r="C24" s="444" t="s">
        <v>45</v>
      </c>
      <c r="D24" s="444"/>
      <c r="E24" s="445"/>
      <c r="F24" s="457" t="s">
        <v>34</v>
      </c>
      <c r="G24" s="447">
        <v>2500</v>
      </c>
      <c r="H24" s="447"/>
      <c r="I24" s="447">
        <v>2500</v>
      </c>
      <c r="J24" s="447"/>
      <c r="K24" s="447"/>
      <c r="L24" s="447"/>
      <c r="M24" s="447">
        <f t="shared" si="2"/>
        <v>2500</v>
      </c>
      <c r="N24" s="447"/>
      <c r="O24" s="447">
        <v>2500</v>
      </c>
      <c r="P24" s="447"/>
      <c r="Q24" s="445"/>
      <c r="S24" s="435"/>
    </row>
    <row r="25" spans="1:19" s="372" customFormat="1" ht="30">
      <c r="A25" s="451">
        <v>12</v>
      </c>
      <c r="B25" s="460" t="s">
        <v>1031</v>
      </c>
      <c r="C25" s="444" t="s">
        <v>45</v>
      </c>
      <c r="D25" s="444"/>
      <c r="E25" s="445"/>
      <c r="F25" s="457" t="s">
        <v>34</v>
      </c>
      <c r="G25" s="447">
        <v>9500</v>
      </c>
      <c r="H25" s="447"/>
      <c r="I25" s="447">
        <v>9500</v>
      </c>
      <c r="J25" s="447"/>
      <c r="K25" s="447"/>
      <c r="L25" s="447"/>
      <c r="M25" s="447">
        <f t="shared" si="2"/>
        <v>3000</v>
      </c>
      <c r="N25" s="447"/>
      <c r="O25" s="447">
        <v>3000</v>
      </c>
      <c r="P25" s="447"/>
      <c r="Q25" s="445"/>
      <c r="S25" s="435"/>
    </row>
    <row r="26" spans="1:19" s="372" customFormat="1" ht="30">
      <c r="A26" s="451">
        <v>13</v>
      </c>
      <c r="B26" s="460" t="s">
        <v>1057</v>
      </c>
      <c r="C26" s="444" t="s">
        <v>1058</v>
      </c>
      <c r="D26" s="444"/>
      <c r="E26" s="445"/>
      <c r="F26" s="457" t="s">
        <v>34</v>
      </c>
      <c r="G26" s="447">
        <v>5500</v>
      </c>
      <c r="H26" s="447"/>
      <c r="I26" s="447">
        <f>+G26-H26</f>
        <v>5500</v>
      </c>
      <c r="J26" s="447"/>
      <c r="K26" s="447">
        <v>5500</v>
      </c>
      <c r="L26" s="447"/>
      <c r="M26" s="447">
        <f t="shared" si="2"/>
        <v>5500</v>
      </c>
      <c r="N26" s="447">
        <v>5500</v>
      </c>
      <c r="O26" s="447"/>
      <c r="P26" s="447">
        <f>+K26</f>
        <v>5500</v>
      </c>
      <c r="Q26" s="445"/>
      <c r="S26" s="435"/>
    </row>
    <row r="27" spans="1:19" s="372" customFormat="1" ht="30">
      <c r="A27" s="451">
        <v>14</v>
      </c>
      <c r="B27" s="460" t="s">
        <v>1059</v>
      </c>
      <c r="C27" s="444" t="s">
        <v>1058</v>
      </c>
      <c r="D27" s="444"/>
      <c r="E27" s="445"/>
      <c r="F27" s="457" t="s">
        <v>34</v>
      </c>
      <c r="G27" s="447">
        <v>4000</v>
      </c>
      <c r="H27" s="447"/>
      <c r="I27" s="447">
        <v>4000</v>
      </c>
      <c r="J27" s="447"/>
      <c r="K27" s="447"/>
      <c r="L27" s="447"/>
      <c r="M27" s="447">
        <f t="shared" si="2"/>
        <v>4000</v>
      </c>
      <c r="N27" s="447"/>
      <c r="O27" s="447">
        <v>4000</v>
      </c>
      <c r="P27" s="447"/>
      <c r="Q27" s="445"/>
      <c r="S27" s="435"/>
    </row>
    <row r="28" spans="1:19" s="372" customFormat="1" ht="30">
      <c r="A28" s="451">
        <v>15</v>
      </c>
      <c r="B28" s="460" t="s">
        <v>1060</v>
      </c>
      <c r="C28" s="444" t="s">
        <v>1058</v>
      </c>
      <c r="D28" s="444"/>
      <c r="E28" s="445"/>
      <c r="F28" s="457" t="s">
        <v>34</v>
      </c>
      <c r="G28" s="447">
        <v>15000</v>
      </c>
      <c r="H28" s="447"/>
      <c r="I28" s="447">
        <v>15000</v>
      </c>
      <c r="J28" s="447"/>
      <c r="K28" s="447"/>
      <c r="L28" s="447"/>
      <c r="M28" s="447">
        <f t="shared" si="2"/>
        <v>15000</v>
      </c>
      <c r="N28" s="447"/>
      <c r="O28" s="447">
        <v>15000</v>
      </c>
      <c r="P28" s="447"/>
      <c r="Q28" s="445"/>
      <c r="S28" s="435"/>
    </row>
    <row r="29" spans="1:19" s="372" customFormat="1" ht="30">
      <c r="A29" s="451">
        <v>16</v>
      </c>
      <c r="B29" s="460" t="s">
        <v>1061</v>
      </c>
      <c r="C29" s="444" t="s">
        <v>52</v>
      </c>
      <c r="D29" s="444"/>
      <c r="E29" s="445"/>
      <c r="F29" s="457" t="s">
        <v>34</v>
      </c>
      <c r="G29" s="447">
        <v>7600</v>
      </c>
      <c r="H29" s="447"/>
      <c r="I29" s="447">
        <v>7600</v>
      </c>
      <c r="J29" s="447"/>
      <c r="K29" s="447"/>
      <c r="L29" s="447"/>
      <c r="M29" s="447">
        <f t="shared" si="2"/>
        <v>7600</v>
      </c>
      <c r="N29" s="447"/>
      <c r="O29" s="447">
        <v>7600</v>
      </c>
      <c r="P29" s="447"/>
      <c r="Q29" s="445"/>
      <c r="S29" s="435"/>
    </row>
    <row r="30" spans="1:19" s="372" customFormat="1" ht="30">
      <c r="A30" s="451">
        <v>17</v>
      </c>
      <c r="B30" s="460" t="s">
        <v>1062</v>
      </c>
      <c r="C30" s="444" t="s">
        <v>35</v>
      </c>
      <c r="D30" s="444"/>
      <c r="E30" s="445"/>
      <c r="F30" s="457" t="s">
        <v>34</v>
      </c>
      <c r="G30" s="447">
        <v>1500</v>
      </c>
      <c r="H30" s="447"/>
      <c r="I30" s="447">
        <v>1500</v>
      </c>
      <c r="J30" s="447"/>
      <c r="K30" s="447"/>
      <c r="L30" s="447"/>
      <c r="M30" s="447">
        <f t="shared" si="2"/>
        <v>1500</v>
      </c>
      <c r="N30" s="447"/>
      <c r="O30" s="447">
        <v>1500</v>
      </c>
      <c r="P30" s="447"/>
      <c r="Q30" s="445"/>
      <c r="S30" s="435"/>
    </row>
    <row r="31" spans="1:19" s="372" customFormat="1" ht="30">
      <c r="A31" s="451">
        <v>18</v>
      </c>
      <c r="B31" s="456" t="s">
        <v>1063</v>
      </c>
      <c r="C31" s="444" t="s">
        <v>37</v>
      </c>
      <c r="D31" s="444"/>
      <c r="E31" s="445"/>
      <c r="F31" s="457" t="s">
        <v>34</v>
      </c>
      <c r="G31" s="447">
        <v>13870</v>
      </c>
      <c r="H31" s="447"/>
      <c r="I31" s="447">
        <v>13870</v>
      </c>
      <c r="J31" s="447"/>
      <c r="K31" s="447">
        <v>4000</v>
      </c>
      <c r="L31" s="447"/>
      <c r="M31" s="447">
        <v>13870</v>
      </c>
      <c r="N31" s="447">
        <v>13870</v>
      </c>
      <c r="O31" s="447"/>
      <c r="P31" s="447">
        <f>+K31</f>
        <v>4000</v>
      </c>
      <c r="Q31" s="445"/>
      <c r="S31" s="435"/>
    </row>
    <row r="32" spans="1:19" s="372" customFormat="1" ht="30">
      <c r="A32" s="451">
        <v>21</v>
      </c>
      <c r="B32" s="460" t="s">
        <v>1064</v>
      </c>
      <c r="C32" s="444" t="s">
        <v>43</v>
      </c>
      <c r="D32" s="444"/>
      <c r="E32" s="445"/>
      <c r="F32" s="457" t="s">
        <v>34</v>
      </c>
      <c r="G32" s="447">
        <v>4500</v>
      </c>
      <c r="H32" s="447"/>
      <c r="I32" s="447">
        <f t="shared" ref="I32" si="3">+G32-H32</f>
        <v>4500</v>
      </c>
      <c r="J32" s="447"/>
      <c r="K32" s="447">
        <v>4500</v>
      </c>
      <c r="L32" s="447"/>
      <c r="M32" s="447">
        <f t="shared" si="2"/>
        <v>4500</v>
      </c>
      <c r="N32" s="447">
        <v>2400</v>
      </c>
      <c r="O32" s="447">
        <v>2100</v>
      </c>
      <c r="P32" s="447">
        <v>4500</v>
      </c>
      <c r="Q32" s="445"/>
      <c r="S32" s="435"/>
    </row>
    <row r="33" spans="1:19" s="372" customFormat="1" ht="30">
      <c r="A33" s="451">
        <v>22</v>
      </c>
      <c r="B33" s="456" t="s">
        <v>1065</v>
      </c>
      <c r="C33" s="444" t="s">
        <v>37</v>
      </c>
      <c r="D33" s="444"/>
      <c r="E33" s="445"/>
      <c r="F33" s="457" t="s">
        <v>34</v>
      </c>
      <c r="G33" s="447">
        <v>29000</v>
      </c>
      <c r="H33" s="447">
        <f>+G33-I33</f>
        <v>29000</v>
      </c>
      <c r="I33" s="447"/>
      <c r="J33" s="447"/>
      <c r="K33" s="447"/>
      <c r="L33" s="447"/>
      <c r="M33" s="447">
        <f t="shared" si="2"/>
        <v>0</v>
      </c>
      <c r="N33" s="447"/>
      <c r="O33" s="447"/>
      <c r="P33" s="447"/>
      <c r="Q33" s="445"/>
      <c r="S33" s="435"/>
    </row>
    <row r="34" spans="1:19" s="372" customFormat="1" ht="45">
      <c r="A34" s="451">
        <v>23</v>
      </c>
      <c r="B34" s="456" t="s">
        <v>1066</v>
      </c>
      <c r="C34" s="444" t="s">
        <v>42</v>
      </c>
      <c r="D34" s="444"/>
      <c r="E34" s="445"/>
      <c r="F34" s="457" t="s">
        <v>34</v>
      </c>
      <c r="G34" s="447">
        <v>12600</v>
      </c>
      <c r="H34" s="447">
        <f>+G34-I34</f>
        <v>12600</v>
      </c>
      <c r="I34" s="447"/>
      <c r="J34" s="447"/>
      <c r="K34" s="447"/>
      <c r="L34" s="447"/>
      <c r="M34" s="447">
        <f t="shared" si="2"/>
        <v>0</v>
      </c>
      <c r="N34" s="447"/>
      <c r="O34" s="447"/>
      <c r="P34" s="447"/>
      <c r="Q34" s="445"/>
      <c r="S34" s="435"/>
    </row>
    <row r="35" spans="1:19" s="372" customFormat="1" ht="30">
      <c r="A35" s="451">
        <v>24</v>
      </c>
      <c r="B35" s="460" t="s">
        <v>1067</v>
      </c>
      <c r="C35" s="444" t="s">
        <v>46</v>
      </c>
      <c r="D35" s="444"/>
      <c r="E35" s="445"/>
      <c r="F35" s="457" t="s">
        <v>34</v>
      </c>
      <c r="G35" s="447">
        <v>1200</v>
      </c>
      <c r="H35" s="447"/>
      <c r="I35" s="447">
        <v>1200</v>
      </c>
      <c r="J35" s="447"/>
      <c r="K35" s="447">
        <v>3000</v>
      </c>
      <c r="L35" s="447"/>
      <c r="M35" s="447">
        <f t="shared" si="2"/>
        <v>1200</v>
      </c>
      <c r="N35" s="447">
        <v>0</v>
      </c>
      <c r="O35" s="447">
        <v>1200</v>
      </c>
      <c r="P35" s="447">
        <v>3000</v>
      </c>
      <c r="Q35" s="445"/>
      <c r="S35" s="435"/>
    </row>
    <row r="36" spans="1:19" s="372" customFormat="1" ht="30">
      <c r="A36" s="451">
        <v>25</v>
      </c>
      <c r="B36" s="460" t="s">
        <v>1107</v>
      </c>
      <c r="C36" s="444" t="s">
        <v>44</v>
      </c>
      <c r="D36" s="444"/>
      <c r="E36" s="445"/>
      <c r="F36" s="457" t="s">
        <v>34</v>
      </c>
      <c r="G36" s="447">
        <v>4500</v>
      </c>
      <c r="H36" s="447"/>
      <c r="I36" s="447">
        <v>4500</v>
      </c>
      <c r="J36" s="447"/>
      <c r="K36" s="447"/>
      <c r="L36" s="447"/>
      <c r="M36" s="447">
        <f t="shared" si="2"/>
        <v>4500</v>
      </c>
      <c r="N36" s="447">
        <v>4500</v>
      </c>
      <c r="O36" s="447"/>
      <c r="P36" s="447"/>
      <c r="Q36" s="445"/>
      <c r="S36" s="435"/>
    </row>
    <row r="37" spans="1:19" s="372" customFormat="1" ht="30">
      <c r="A37" s="451">
        <v>26</v>
      </c>
      <c r="B37" s="460" t="s">
        <v>1108</v>
      </c>
      <c r="C37" s="444" t="s">
        <v>44</v>
      </c>
      <c r="D37" s="444"/>
      <c r="E37" s="445"/>
      <c r="F37" s="457" t="s">
        <v>34</v>
      </c>
      <c r="G37" s="447">
        <v>5000</v>
      </c>
      <c r="H37" s="447"/>
      <c r="I37" s="447">
        <v>5000</v>
      </c>
      <c r="J37" s="447"/>
      <c r="K37" s="447"/>
      <c r="L37" s="447"/>
      <c r="M37" s="447">
        <f t="shared" si="2"/>
        <v>5000</v>
      </c>
      <c r="N37" s="447">
        <v>5000</v>
      </c>
      <c r="O37" s="447"/>
      <c r="P37" s="447"/>
      <c r="Q37" s="445"/>
      <c r="S37" s="435"/>
    </row>
    <row r="38" spans="1:19" s="441" customFormat="1" ht="14.25">
      <c r="A38" s="436" t="s">
        <v>23</v>
      </c>
      <c r="B38" s="478" t="s">
        <v>1068</v>
      </c>
      <c r="C38" s="438"/>
      <c r="D38" s="438"/>
      <c r="E38" s="439"/>
      <c r="F38" s="421"/>
      <c r="G38" s="455">
        <f>SUM(G39)</f>
        <v>5100</v>
      </c>
      <c r="H38" s="455">
        <f t="shared" ref="H38:O38" si="4">SUM(H39)</f>
        <v>0</v>
      </c>
      <c r="I38" s="455">
        <f t="shared" si="4"/>
        <v>5100</v>
      </c>
      <c r="J38" s="455">
        <f t="shared" si="4"/>
        <v>0</v>
      </c>
      <c r="K38" s="455">
        <f t="shared" si="4"/>
        <v>5100</v>
      </c>
      <c r="L38" s="455">
        <f t="shared" si="4"/>
        <v>0</v>
      </c>
      <c r="M38" s="455">
        <f t="shared" si="4"/>
        <v>5100</v>
      </c>
      <c r="N38" s="455">
        <f t="shared" si="4"/>
        <v>5100</v>
      </c>
      <c r="O38" s="455">
        <f t="shared" si="4"/>
        <v>0</v>
      </c>
      <c r="P38" s="455"/>
      <c r="Q38" s="439"/>
      <c r="S38" s="435"/>
    </row>
    <row r="39" spans="1:19" s="372" customFormat="1" ht="30">
      <c r="A39" s="451">
        <v>1</v>
      </c>
      <c r="B39" s="460" t="s">
        <v>1069</v>
      </c>
      <c r="C39" s="444" t="s">
        <v>37</v>
      </c>
      <c r="D39" s="444"/>
      <c r="E39" s="445"/>
      <c r="F39" s="457" t="s">
        <v>34</v>
      </c>
      <c r="G39" s="447">
        <v>5100</v>
      </c>
      <c r="H39" s="447"/>
      <c r="I39" s="447">
        <f t="shared" ref="I39:I59" si="5">+G39-H39</f>
        <v>5100</v>
      </c>
      <c r="J39" s="447"/>
      <c r="K39" s="447">
        <v>5100</v>
      </c>
      <c r="L39" s="447"/>
      <c r="M39" s="447">
        <v>5100</v>
      </c>
      <c r="N39" s="447">
        <v>5100</v>
      </c>
      <c r="O39" s="447"/>
      <c r="P39" s="447">
        <f t="shared" ref="P39:P50" si="6">+K39</f>
        <v>5100</v>
      </c>
      <c r="Q39" s="445"/>
      <c r="S39" s="435"/>
    </row>
    <row r="40" spans="1:19" s="441" customFormat="1" ht="14.25">
      <c r="A40" s="436" t="s">
        <v>98</v>
      </c>
      <c r="B40" s="478" t="s">
        <v>871</v>
      </c>
      <c r="C40" s="438"/>
      <c r="D40" s="438"/>
      <c r="E40" s="439"/>
      <c r="F40" s="421"/>
      <c r="G40" s="455">
        <f>SUM(G41:G42)</f>
        <v>60000</v>
      </c>
      <c r="H40" s="455">
        <f t="shared" ref="H40:O40" si="7">SUM(H41:H42)</f>
        <v>50000</v>
      </c>
      <c r="I40" s="455">
        <f t="shared" si="7"/>
        <v>10000</v>
      </c>
      <c r="J40" s="455">
        <f t="shared" si="7"/>
        <v>0</v>
      </c>
      <c r="K40" s="455">
        <f t="shared" si="7"/>
        <v>0</v>
      </c>
      <c r="L40" s="455">
        <f t="shared" si="7"/>
        <v>0</v>
      </c>
      <c r="M40" s="455">
        <f t="shared" si="7"/>
        <v>10000</v>
      </c>
      <c r="N40" s="455">
        <f t="shared" si="7"/>
        <v>10000</v>
      </c>
      <c r="O40" s="455">
        <f t="shared" si="7"/>
        <v>0</v>
      </c>
      <c r="P40" s="455"/>
      <c r="Q40" s="439"/>
      <c r="S40" s="435"/>
    </row>
    <row r="41" spans="1:19" s="372" customFormat="1" ht="45">
      <c r="A41" s="451">
        <v>1</v>
      </c>
      <c r="B41" s="456" t="s">
        <v>1070</v>
      </c>
      <c r="C41" s="444" t="s">
        <v>1071</v>
      </c>
      <c r="D41" s="444"/>
      <c r="E41" s="445"/>
      <c r="F41" s="457" t="s">
        <v>34</v>
      </c>
      <c r="G41" s="447">
        <v>45000</v>
      </c>
      <c r="H41" s="447">
        <v>40000</v>
      </c>
      <c r="I41" s="447">
        <f>+G41-H41</f>
        <v>5000</v>
      </c>
      <c r="J41" s="447"/>
      <c r="K41" s="447"/>
      <c r="L41" s="447"/>
      <c r="M41" s="447">
        <v>5000</v>
      </c>
      <c r="N41" s="447">
        <v>5000</v>
      </c>
      <c r="O41" s="447"/>
      <c r="P41" s="447"/>
      <c r="Q41" s="445"/>
      <c r="S41" s="435"/>
    </row>
    <row r="42" spans="1:19" s="372" customFormat="1" ht="60">
      <c r="A42" s="451">
        <v>2</v>
      </c>
      <c r="B42" s="456" t="s">
        <v>1072</v>
      </c>
      <c r="C42" s="444" t="s">
        <v>37</v>
      </c>
      <c r="D42" s="444"/>
      <c r="E42" s="445"/>
      <c r="F42" s="457" t="s">
        <v>34</v>
      </c>
      <c r="G42" s="447">
        <v>15000</v>
      </c>
      <c r="H42" s="447">
        <v>10000</v>
      </c>
      <c r="I42" s="447">
        <f>+G42-H42</f>
        <v>5000</v>
      </c>
      <c r="J42" s="447"/>
      <c r="K42" s="447"/>
      <c r="L42" s="447"/>
      <c r="M42" s="447">
        <v>5000</v>
      </c>
      <c r="N42" s="447">
        <v>5000</v>
      </c>
      <c r="O42" s="447"/>
      <c r="P42" s="447"/>
      <c r="Q42" s="445"/>
      <c r="S42" s="435"/>
    </row>
    <row r="43" spans="1:19" s="372" customFormat="1" ht="15">
      <c r="A43" s="436" t="s">
        <v>100</v>
      </c>
      <c r="B43" s="478" t="s">
        <v>1073</v>
      </c>
      <c r="C43" s="444"/>
      <c r="D43" s="444"/>
      <c r="E43" s="445"/>
      <c r="F43" s="457"/>
      <c r="G43" s="455">
        <f>SUM(G44:G48)</f>
        <v>42400</v>
      </c>
      <c r="H43" s="455">
        <f t="shared" ref="H43:O43" si="8">SUM(H44:H48)</f>
        <v>3000</v>
      </c>
      <c r="I43" s="455">
        <f t="shared" si="8"/>
        <v>39400</v>
      </c>
      <c r="J43" s="455">
        <f t="shared" si="8"/>
        <v>0</v>
      </c>
      <c r="K43" s="455">
        <f t="shared" si="8"/>
        <v>38200</v>
      </c>
      <c r="L43" s="455">
        <f t="shared" si="8"/>
        <v>0</v>
      </c>
      <c r="M43" s="455">
        <f t="shared" si="8"/>
        <v>39400</v>
      </c>
      <c r="N43" s="455">
        <f t="shared" si="8"/>
        <v>39400</v>
      </c>
      <c r="O43" s="455">
        <f t="shared" si="8"/>
        <v>0</v>
      </c>
      <c r="P43" s="447"/>
      <c r="Q43" s="445"/>
      <c r="S43" s="435"/>
    </row>
    <row r="44" spans="1:19" s="372" customFormat="1" ht="45">
      <c r="A44" s="451">
        <v>1</v>
      </c>
      <c r="B44" s="460" t="s">
        <v>1074</v>
      </c>
      <c r="C44" s="444" t="s">
        <v>41</v>
      </c>
      <c r="D44" s="444"/>
      <c r="E44" s="445"/>
      <c r="F44" s="457" t="s">
        <v>34</v>
      </c>
      <c r="G44" s="447">
        <v>13000</v>
      </c>
      <c r="H44" s="447"/>
      <c r="I44" s="447">
        <f t="shared" si="5"/>
        <v>13000</v>
      </c>
      <c r="J44" s="447"/>
      <c r="K44" s="447">
        <v>13000</v>
      </c>
      <c r="L44" s="447"/>
      <c r="M44" s="447">
        <v>13000</v>
      </c>
      <c r="N44" s="447">
        <v>13000</v>
      </c>
      <c r="O44" s="447"/>
      <c r="P44" s="447">
        <f t="shared" si="6"/>
        <v>13000</v>
      </c>
      <c r="Q44" s="445"/>
      <c r="S44" s="435"/>
    </row>
    <row r="45" spans="1:19" s="372" customFormat="1" ht="45">
      <c r="A45" s="451">
        <v>2</v>
      </c>
      <c r="B45" s="460" t="s">
        <v>1075</v>
      </c>
      <c r="C45" s="444" t="s">
        <v>37</v>
      </c>
      <c r="D45" s="444"/>
      <c r="E45" s="445"/>
      <c r="F45" s="457" t="s">
        <v>34</v>
      </c>
      <c r="G45" s="447">
        <v>2000</v>
      </c>
      <c r="H45" s="447"/>
      <c r="I45" s="447">
        <f t="shared" si="5"/>
        <v>2000</v>
      </c>
      <c r="J45" s="447"/>
      <c r="K45" s="447">
        <v>2000</v>
      </c>
      <c r="L45" s="447"/>
      <c r="M45" s="447">
        <v>2000</v>
      </c>
      <c r="N45" s="447">
        <v>2000</v>
      </c>
      <c r="O45" s="447"/>
      <c r="P45" s="447">
        <f t="shared" si="6"/>
        <v>2000</v>
      </c>
      <c r="Q45" s="445"/>
      <c r="S45" s="435"/>
    </row>
    <row r="46" spans="1:19" s="372" customFormat="1" ht="30">
      <c r="A46" s="451">
        <v>3</v>
      </c>
      <c r="B46" s="460" t="s">
        <v>1076</v>
      </c>
      <c r="C46" s="444" t="s">
        <v>1077</v>
      </c>
      <c r="D46" s="444"/>
      <c r="E46" s="445"/>
      <c r="F46" s="457" t="s">
        <v>34</v>
      </c>
      <c r="G46" s="447">
        <v>10000</v>
      </c>
      <c r="H46" s="447"/>
      <c r="I46" s="447">
        <f t="shared" si="5"/>
        <v>10000</v>
      </c>
      <c r="J46" s="447"/>
      <c r="K46" s="447">
        <v>10000</v>
      </c>
      <c r="L46" s="447"/>
      <c r="M46" s="447">
        <v>10000</v>
      </c>
      <c r="N46" s="447">
        <v>10000</v>
      </c>
      <c r="O46" s="447"/>
      <c r="P46" s="447">
        <f t="shared" si="6"/>
        <v>10000</v>
      </c>
      <c r="Q46" s="445"/>
      <c r="S46" s="435"/>
    </row>
    <row r="47" spans="1:19" s="372" customFormat="1" ht="45">
      <c r="A47" s="451">
        <v>4</v>
      </c>
      <c r="B47" s="456" t="s">
        <v>1078</v>
      </c>
      <c r="C47" s="444" t="s">
        <v>35</v>
      </c>
      <c r="D47" s="444"/>
      <c r="E47" s="445"/>
      <c r="F47" s="457" t="s">
        <v>34</v>
      </c>
      <c r="G47" s="447">
        <v>13200</v>
      </c>
      <c r="H47" s="447"/>
      <c r="I47" s="447">
        <f>+G47-H47</f>
        <v>13200</v>
      </c>
      <c r="J47" s="447"/>
      <c r="K47" s="447">
        <v>13200</v>
      </c>
      <c r="L47" s="447"/>
      <c r="M47" s="447">
        <v>13200</v>
      </c>
      <c r="N47" s="447">
        <v>13200</v>
      </c>
      <c r="O47" s="447"/>
      <c r="P47" s="447">
        <f>+K47</f>
        <v>13200</v>
      </c>
      <c r="Q47" s="445"/>
      <c r="S47" s="435"/>
    </row>
    <row r="48" spans="1:19" s="372" customFormat="1" ht="30">
      <c r="A48" s="451">
        <v>5</v>
      </c>
      <c r="B48" s="456" t="s">
        <v>1079</v>
      </c>
      <c r="C48" s="444" t="s">
        <v>37</v>
      </c>
      <c r="D48" s="444"/>
      <c r="E48" s="445"/>
      <c r="F48" s="457" t="s">
        <v>34</v>
      </c>
      <c r="G48" s="447">
        <v>4200</v>
      </c>
      <c r="H48" s="447">
        <v>3000</v>
      </c>
      <c r="I48" s="447">
        <f>+G48-H48</f>
        <v>1200</v>
      </c>
      <c r="J48" s="447"/>
      <c r="K48" s="447"/>
      <c r="L48" s="447"/>
      <c r="M48" s="447">
        <v>1200</v>
      </c>
      <c r="N48" s="447">
        <v>1200</v>
      </c>
      <c r="O48" s="447"/>
      <c r="P48" s="447"/>
      <c r="Q48" s="445"/>
      <c r="S48" s="435"/>
    </row>
    <row r="49" spans="1:19" s="372" customFormat="1" ht="28.5">
      <c r="A49" s="436" t="s">
        <v>612</v>
      </c>
      <c r="B49" s="478" t="s">
        <v>1080</v>
      </c>
      <c r="C49" s="444"/>
      <c r="D49" s="444"/>
      <c r="E49" s="445"/>
      <c r="F49" s="457"/>
      <c r="G49" s="455">
        <f t="shared" ref="G49:O49" si="9">SUM(G50:G54)</f>
        <v>52000</v>
      </c>
      <c r="H49" s="455">
        <f t="shared" si="9"/>
        <v>21000</v>
      </c>
      <c r="I49" s="455">
        <f t="shared" si="9"/>
        <v>31000</v>
      </c>
      <c r="J49" s="455">
        <f t="shared" si="9"/>
        <v>0</v>
      </c>
      <c r="K49" s="455">
        <f t="shared" si="9"/>
        <v>15000</v>
      </c>
      <c r="L49" s="455">
        <f t="shared" si="9"/>
        <v>0</v>
      </c>
      <c r="M49" s="455">
        <f t="shared" si="9"/>
        <v>31000</v>
      </c>
      <c r="N49" s="455">
        <f t="shared" si="9"/>
        <v>31000</v>
      </c>
      <c r="O49" s="455">
        <f t="shared" si="9"/>
        <v>0</v>
      </c>
      <c r="P49" s="447"/>
      <c r="Q49" s="445"/>
      <c r="S49" s="435"/>
    </row>
    <row r="50" spans="1:19" s="372" customFormat="1" ht="30">
      <c r="A50" s="451">
        <v>1</v>
      </c>
      <c r="B50" s="460" t="s">
        <v>1081</v>
      </c>
      <c r="C50" s="444" t="s">
        <v>91</v>
      </c>
      <c r="D50" s="444"/>
      <c r="E50" s="445"/>
      <c r="F50" s="457" t="s">
        <v>34</v>
      </c>
      <c r="G50" s="447">
        <v>15000</v>
      </c>
      <c r="H50" s="447">
        <v>10000</v>
      </c>
      <c r="I50" s="447">
        <f t="shared" si="5"/>
        <v>5000</v>
      </c>
      <c r="J50" s="447"/>
      <c r="K50" s="447">
        <v>15000</v>
      </c>
      <c r="L50" s="447"/>
      <c r="M50" s="447">
        <v>5000</v>
      </c>
      <c r="N50" s="447">
        <v>5000</v>
      </c>
      <c r="O50" s="447"/>
      <c r="P50" s="447">
        <f t="shared" si="6"/>
        <v>15000</v>
      </c>
      <c r="Q50" s="445"/>
      <c r="S50" s="435"/>
    </row>
    <row r="51" spans="1:19" s="372" customFormat="1" ht="30">
      <c r="A51" s="451">
        <v>2</v>
      </c>
      <c r="B51" s="456" t="s">
        <v>1082</v>
      </c>
      <c r="C51" s="444" t="s">
        <v>947</v>
      </c>
      <c r="D51" s="444"/>
      <c r="E51" s="445"/>
      <c r="F51" s="457" t="s">
        <v>34</v>
      </c>
      <c r="G51" s="447">
        <v>22000</v>
      </c>
      <c r="H51" s="447">
        <v>11000</v>
      </c>
      <c r="I51" s="447">
        <f>+G51-H51</f>
        <v>11000</v>
      </c>
      <c r="J51" s="447"/>
      <c r="K51" s="447"/>
      <c r="L51" s="447"/>
      <c r="M51" s="447">
        <v>11000</v>
      </c>
      <c r="N51" s="447">
        <v>11000</v>
      </c>
      <c r="O51" s="447"/>
      <c r="P51" s="447"/>
      <c r="Q51" s="445"/>
      <c r="S51" s="435"/>
    </row>
    <row r="52" spans="1:19" s="372" customFormat="1" ht="30">
      <c r="A52" s="451">
        <v>3</v>
      </c>
      <c r="B52" s="456" t="s">
        <v>1083</v>
      </c>
      <c r="C52" s="444" t="s">
        <v>40</v>
      </c>
      <c r="D52" s="444"/>
      <c r="E52" s="445"/>
      <c r="F52" s="457" t="s">
        <v>34</v>
      </c>
      <c r="G52" s="447">
        <v>3500</v>
      </c>
      <c r="H52" s="447"/>
      <c r="I52" s="447">
        <f>+G52-H52</f>
        <v>3500</v>
      </c>
      <c r="J52" s="447"/>
      <c r="K52" s="447"/>
      <c r="L52" s="447"/>
      <c r="M52" s="447">
        <v>3500</v>
      </c>
      <c r="N52" s="447">
        <v>3500</v>
      </c>
      <c r="O52" s="447"/>
      <c r="P52" s="447"/>
      <c r="Q52" s="445"/>
      <c r="S52" s="435"/>
    </row>
    <row r="53" spans="1:19" s="372" customFormat="1" ht="30">
      <c r="A53" s="451">
        <v>4</v>
      </c>
      <c r="B53" s="456" t="s">
        <v>1084</v>
      </c>
      <c r="C53" s="444" t="s">
        <v>52</v>
      </c>
      <c r="D53" s="444"/>
      <c r="E53" s="445"/>
      <c r="F53" s="457" t="s">
        <v>34</v>
      </c>
      <c r="G53" s="447">
        <v>7000</v>
      </c>
      <c r="H53" s="447"/>
      <c r="I53" s="447">
        <f>+G53</f>
        <v>7000</v>
      </c>
      <c r="J53" s="447"/>
      <c r="K53" s="447"/>
      <c r="L53" s="447"/>
      <c r="M53" s="447">
        <v>7000</v>
      </c>
      <c r="N53" s="447">
        <v>7000</v>
      </c>
      <c r="O53" s="447"/>
      <c r="P53" s="447"/>
      <c r="Q53" s="445"/>
      <c r="S53" s="435"/>
    </row>
    <row r="54" spans="1:19" s="372" customFormat="1" ht="30">
      <c r="A54" s="451">
        <v>5</v>
      </c>
      <c r="B54" s="456" t="s">
        <v>1085</v>
      </c>
      <c r="C54" s="444" t="s">
        <v>45</v>
      </c>
      <c r="D54" s="444"/>
      <c r="E54" s="445"/>
      <c r="F54" s="457" t="s">
        <v>34</v>
      </c>
      <c r="G54" s="447">
        <v>4500</v>
      </c>
      <c r="H54" s="447"/>
      <c r="I54" s="447">
        <v>4500</v>
      </c>
      <c r="J54" s="447"/>
      <c r="K54" s="447"/>
      <c r="L54" s="447"/>
      <c r="M54" s="447">
        <v>4500</v>
      </c>
      <c r="N54" s="447">
        <v>4500</v>
      </c>
      <c r="O54" s="447"/>
      <c r="P54" s="447"/>
      <c r="Q54" s="445"/>
      <c r="S54" s="435"/>
    </row>
    <row r="55" spans="1:19" s="441" customFormat="1" ht="14.25">
      <c r="A55" s="436" t="s">
        <v>613</v>
      </c>
      <c r="B55" s="478" t="s">
        <v>1086</v>
      </c>
      <c r="C55" s="438"/>
      <c r="D55" s="438"/>
      <c r="E55" s="439"/>
      <c r="F55" s="421"/>
      <c r="G55" s="455">
        <f t="shared" ref="G55:O55" si="10">SUM(G56:G56)</f>
        <v>3300</v>
      </c>
      <c r="H55" s="455">
        <f t="shared" si="10"/>
        <v>0</v>
      </c>
      <c r="I55" s="455">
        <f t="shared" si="10"/>
        <v>3300</v>
      </c>
      <c r="J55" s="455">
        <f t="shared" si="10"/>
        <v>0</v>
      </c>
      <c r="K55" s="455">
        <f t="shared" si="10"/>
        <v>0</v>
      </c>
      <c r="L55" s="455">
        <f t="shared" si="10"/>
        <v>0</v>
      </c>
      <c r="M55" s="455">
        <f t="shared" si="10"/>
        <v>3300</v>
      </c>
      <c r="N55" s="455">
        <f t="shared" si="10"/>
        <v>3300</v>
      </c>
      <c r="O55" s="455">
        <f t="shared" si="10"/>
        <v>0</v>
      </c>
      <c r="P55" s="455"/>
      <c r="Q55" s="439"/>
      <c r="S55" s="435"/>
    </row>
    <row r="56" spans="1:19" s="372" customFormat="1" ht="60">
      <c r="A56" s="451">
        <v>2</v>
      </c>
      <c r="B56" s="456" t="s">
        <v>1087</v>
      </c>
      <c r="C56" s="444" t="s">
        <v>1088</v>
      </c>
      <c r="D56" s="444"/>
      <c r="E56" s="445"/>
      <c r="F56" s="457" t="s">
        <v>34</v>
      </c>
      <c r="G56" s="447">
        <v>3300</v>
      </c>
      <c r="H56" s="447"/>
      <c r="I56" s="447">
        <f t="shared" si="5"/>
        <v>3300</v>
      </c>
      <c r="J56" s="447"/>
      <c r="K56" s="447"/>
      <c r="L56" s="447"/>
      <c r="M56" s="447">
        <v>3300</v>
      </c>
      <c r="N56" s="447">
        <v>3300</v>
      </c>
      <c r="O56" s="447"/>
      <c r="P56" s="447"/>
      <c r="Q56" s="445"/>
      <c r="S56" s="435"/>
    </row>
    <row r="57" spans="1:19" s="441" customFormat="1" ht="14.25">
      <c r="A57" s="436" t="s">
        <v>614</v>
      </c>
      <c r="B57" s="461" t="s">
        <v>1089</v>
      </c>
      <c r="C57" s="438"/>
      <c r="D57" s="438"/>
      <c r="E57" s="439"/>
      <c r="F57" s="421"/>
      <c r="G57" s="455">
        <f>SUM(G58:G61)</f>
        <v>12500</v>
      </c>
      <c r="H57" s="455">
        <f t="shared" ref="H57:O57" si="11">SUM(H58:H61)</f>
        <v>0</v>
      </c>
      <c r="I57" s="455">
        <f t="shared" si="11"/>
        <v>12500</v>
      </c>
      <c r="J57" s="455">
        <f t="shared" si="11"/>
        <v>0</v>
      </c>
      <c r="K57" s="455">
        <f t="shared" si="11"/>
        <v>0</v>
      </c>
      <c r="L57" s="455">
        <f t="shared" si="11"/>
        <v>0</v>
      </c>
      <c r="M57" s="455">
        <f t="shared" si="11"/>
        <v>12500</v>
      </c>
      <c r="N57" s="455">
        <f t="shared" si="11"/>
        <v>12500</v>
      </c>
      <c r="O57" s="455">
        <f t="shared" si="11"/>
        <v>0</v>
      </c>
      <c r="P57" s="455"/>
      <c r="Q57" s="439"/>
      <c r="S57" s="435"/>
    </row>
    <row r="58" spans="1:19" s="372" customFormat="1" ht="30">
      <c r="A58" s="451">
        <v>1</v>
      </c>
      <c r="B58" s="456" t="s">
        <v>1090</v>
      </c>
      <c r="C58" s="444" t="s">
        <v>37</v>
      </c>
      <c r="D58" s="444"/>
      <c r="E58" s="445"/>
      <c r="F58" s="457" t="s">
        <v>34</v>
      </c>
      <c r="G58" s="447">
        <v>3000</v>
      </c>
      <c r="H58" s="447"/>
      <c r="I58" s="447">
        <f t="shared" si="5"/>
        <v>3000</v>
      </c>
      <c r="J58" s="447"/>
      <c r="K58" s="447"/>
      <c r="L58" s="447"/>
      <c r="M58" s="447">
        <v>3000</v>
      </c>
      <c r="N58" s="447">
        <v>3000</v>
      </c>
      <c r="O58" s="447"/>
      <c r="P58" s="447"/>
      <c r="Q58" s="445"/>
      <c r="S58" s="435"/>
    </row>
    <row r="59" spans="1:19" s="372" customFormat="1" ht="30">
      <c r="A59" s="451">
        <v>2</v>
      </c>
      <c r="B59" s="456" t="s">
        <v>1091</v>
      </c>
      <c r="C59" s="444" t="s">
        <v>37</v>
      </c>
      <c r="D59" s="444"/>
      <c r="E59" s="445"/>
      <c r="F59" s="457" t="s">
        <v>34</v>
      </c>
      <c r="G59" s="447">
        <v>1200</v>
      </c>
      <c r="H59" s="447"/>
      <c r="I59" s="447">
        <f t="shared" si="5"/>
        <v>1200</v>
      </c>
      <c r="J59" s="447"/>
      <c r="K59" s="447"/>
      <c r="L59" s="447"/>
      <c r="M59" s="447">
        <v>1200</v>
      </c>
      <c r="N59" s="447">
        <v>1200</v>
      </c>
      <c r="O59" s="447"/>
      <c r="P59" s="447"/>
      <c r="Q59" s="445"/>
      <c r="S59" s="435"/>
    </row>
    <row r="60" spans="1:19" s="372" customFormat="1" ht="30">
      <c r="A60" s="451">
        <v>3</v>
      </c>
      <c r="B60" s="456" t="s">
        <v>1092</v>
      </c>
      <c r="C60" s="444" t="s">
        <v>37</v>
      </c>
      <c r="D60" s="444"/>
      <c r="E60" s="445"/>
      <c r="F60" s="457" t="s">
        <v>34</v>
      </c>
      <c r="G60" s="447">
        <v>1300</v>
      </c>
      <c r="H60" s="447"/>
      <c r="I60" s="447">
        <f>+G60</f>
        <v>1300</v>
      </c>
      <c r="J60" s="447"/>
      <c r="K60" s="447"/>
      <c r="L60" s="447"/>
      <c r="M60" s="447">
        <v>1300</v>
      </c>
      <c r="N60" s="447">
        <v>1300</v>
      </c>
      <c r="O60" s="447"/>
      <c r="P60" s="447"/>
      <c r="Q60" s="445"/>
      <c r="S60" s="435"/>
    </row>
    <row r="61" spans="1:19" s="372" customFormat="1" ht="30">
      <c r="A61" s="451">
        <v>4</v>
      </c>
      <c r="B61" s="456" t="s">
        <v>1093</v>
      </c>
      <c r="C61" s="444" t="s">
        <v>37</v>
      </c>
      <c r="D61" s="444"/>
      <c r="E61" s="445"/>
      <c r="F61" s="457" t="s">
        <v>34</v>
      </c>
      <c r="G61" s="447">
        <v>7000</v>
      </c>
      <c r="H61" s="447"/>
      <c r="I61" s="447">
        <v>7000</v>
      </c>
      <c r="J61" s="447"/>
      <c r="K61" s="447"/>
      <c r="L61" s="447"/>
      <c r="M61" s="447">
        <v>7000</v>
      </c>
      <c r="N61" s="447">
        <v>7000</v>
      </c>
      <c r="O61" s="447"/>
      <c r="P61" s="447"/>
      <c r="Q61" s="445"/>
      <c r="S61" s="435"/>
    </row>
    <row r="62" spans="1:19" s="472" customFormat="1" ht="20.25" customHeight="1">
      <c r="A62" s="470"/>
      <c r="B62" s="470"/>
      <c r="C62" s="470"/>
      <c r="D62" s="470"/>
      <c r="E62" s="470"/>
      <c r="F62" s="471"/>
      <c r="G62" s="471"/>
      <c r="H62" s="471"/>
      <c r="I62" s="471"/>
      <c r="J62" s="471"/>
      <c r="K62" s="471"/>
      <c r="L62" s="471"/>
      <c r="M62" s="560" t="s">
        <v>1038</v>
      </c>
      <c r="N62" s="560"/>
      <c r="O62" s="560"/>
      <c r="P62" s="560"/>
      <c r="Q62" s="560"/>
      <c r="R62" s="471"/>
    </row>
    <row r="63" spans="1:19" s="469" customFormat="1" ht="18.75">
      <c r="A63" s="466"/>
      <c r="B63" s="467"/>
      <c r="C63" s="466"/>
      <c r="D63" s="466"/>
      <c r="E63" s="467"/>
      <c r="F63" s="467"/>
      <c r="G63" s="467"/>
      <c r="H63" s="467"/>
      <c r="I63" s="467"/>
      <c r="J63" s="467"/>
      <c r="K63" s="467"/>
      <c r="L63" s="467"/>
      <c r="M63" s="467"/>
      <c r="N63" s="467"/>
      <c r="O63" s="467"/>
      <c r="P63" s="467"/>
      <c r="Q63" s="467"/>
      <c r="R63" s="467"/>
    </row>
    <row r="64" spans="1:19" s="469" customFormat="1" ht="18.75">
      <c r="A64" s="466"/>
      <c r="B64" s="467"/>
      <c r="C64" s="466"/>
      <c r="D64" s="466"/>
      <c r="E64" s="467"/>
      <c r="F64" s="467"/>
      <c r="G64" s="467"/>
      <c r="H64" s="467"/>
      <c r="I64" s="467"/>
      <c r="J64" s="467"/>
      <c r="K64" s="467"/>
      <c r="L64" s="467"/>
      <c r="M64" s="467"/>
      <c r="N64" s="467"/>
      <c r="O64" s="467"/>
      <c r="P64" s="467"/>
      <c r="Q64" s="467"/>
      <c r="R64" s="467"/>
    </row>
    <row r="65" spans="1:18" s="469" customFormat="1" ht="18.75">
      <c r="A65" s="466"/>
      <c r="B65" s="467"/>
      <c r="C65" s="466"/>
      <c r="D65" s="466"/>
      <c r="E65" s="467"/>
      <c r="F65" s="467"/>
      <c r="G65" s="467"/>
      <c r="H65" s="467"/>
      <c r="I65" s="467"/>
      <c r="J65" s="467"/>
      <c r="K65" s="467"/>
      <c r="L65" s="467"/>
      <c r="M65" s="467"/>
      <c r="N65" s="467"/>
      <c r="O65" s="467"/>
      <c r="P65" s="467"/>
      <c r="Q65" s="467"/>
      <c r="R65" s="467"/>
    </row>
    <row r="66" spans="1:18" s="469" customFormat="1" ht="18.75">
      <c r="A66" s="466"/>
      <c r="B66" s="467"/>
      <c r="C66" s="466"/>
      <c r="D66" s="466"/>
      <c r="E66" s="467"/>
      <c r="F66" s="467"/>
      <c r="G66" s="467"/>
      <c r="H66" s="467"/>
      <c r="I66" s="467"/>
      <c r="J66" s="467"/>
      <c r="K66" s="467"/>
      <c r="L66" s="467"/>
      <c r="M66" s="467"/>
      <c r="N66" s="467"/>
      <c r="O66" s="467"/>
      <c r="P66" s="467"/>
      <c r="Q66" s="467"/>
      <c r="R66" s="467"/>
    </row>
    <row r="67" spans="1:18" s="469" customFormat="1" ht="18.75">
      <c r="A67" s="466"/>
      <c r="B67" s="467"/>
      <c r="C67" s="466"/>
      <c r="D67" s="466"/>
      <c r="E67" s="467"/>
      <c r="F67" s="467"/>
      <c r="G67" s="467"/>
      <c r="H67" s="467"/>
      <c r="I67" s="467"/>
      <c r="J67" s="467"/>
      <c r="K67" s="467"/>
      <c r="L67" s="467"/>
      <c r="M67" s="467"/>
      <c r="N67" s="467"/>
      <c r="O67" s="467"/>
      <c r="P67" s="467"/>
      <c r="Q67" s="467"/>
      <c r="R67" s="467"/>
    </row>
    <row r="68" spans="1:18" s="469" customFormat="1" ht="18.75">
      <c r="A68" s="466"/>
      <c r="B68" s="467"/>
      <c r="C68" s="466"/>
      <c r="D68" s="466"/>
      <c r="E68" s="467"/>
      <c r="F68" s="467"/>
      <c r="G68" s="467"/>
      <c r="H68" s="467"/>
      <c r="I68" s="467"/>
      <c r="J68" s="467"/>
      <c r="K68" s="467"/>
      <c r="L68" s="467"/>
      <c r="M68" s="467"/>
      <c r="N68" s="467"/>
      <c r="O68" s="467"/>
      <c r="P68" s="467"/>
      <c r="Q68" s="467"/>
      <c r="R68" s="467"/>
    </row>
    <row r="69" spans="1:18" s="469" customFormat="1" ht="18.75">
      <c r="A69" s="466"/>
      <c r="B69" s="467"/>
      <c r="C69" s="466"/>
      <c r="D69" s="466"/>
      <c r="E69" s="467"/>
      <c r="F69" s="467"/>
      <c r="G69" s="467"/>
      <c r="H69" s="467"/>
      <c r="I69" s="467"/>
      <c r="J69" s="467"/>
      <c r="K69" s="467"/>
      <c r="L69" s="467"/>
      <c r="M69" s="467"/>
      <c r="N69" s="467"/>
      <c r="O69" s="467"/>
      <c r="P69" s="467"/>
      <c r="Q69" s="467"/>
      <c r="R69" s="467"/>
    </row>
    <row r="70" spans="1:18" s="471" customFormat="1" ht="18.75">
      <c r="A70" s="555"/>
      <c r="B70" s="555"/>
      <c r="C70" s="555"/>
      <c r="D70" s="555"/>
      <c r="E70" s="555"/>
      <c r="F70" s="554"/>
      <c r="G70" s="554"/>
      <c r="H70" s="554"/>
      <c r="I70" s="554"/>
      <c r="J70" s="554"/>
      <c r="K70" s="554"/>
      <c r="L70" s="554"/>
      <c r="M70" s="554"/>
      <c r="N70" s="554"/>
      <c r="O70" s="554"/>
      <c r="P70" s="554"/>
      <c r="Q70" s="554"/>
    </row>
    <row r="71" spans="1:18" s="469" customFormat="1" ht="18.75">
      <c r="A71" s="466"/>
      <c r="B71" s="467"/>
      <c r="C71" s="466"/>
      <c r="D71" s="466"/>
      <c r="E71" s="467"/>
      <c r="F71" s="467"/>
      <c r="G71" s="467"/>
      <c r="H71" s="467"/>
      <c r="I71" s="467"/>
      <c r="J71" s="467"/>
      <c r="K71" s="467"/>
      <c r="L71" s="467"/>
      <c r="M71" s="467"/>
      <c r="N71" s="467"/>
      <c r="O71" s="467"/>
      <c r="P71" s="467"/>
      <c r="Q71" s="467"/>
      <c r="R71" s="467"/>
    </row>
    <row r="72" spans="1:18" s="1" customFormat="1" ht="18.75">
      <c r="A72" s="473"/>
      <c r="B72" s="20"/>
      <c r="C72" s="21"/>
      <c r="D72" s="21"/>
      <c r="E72" s="21"/>
      <c r="F72" s="21"/>
      <c r="G72" s="67"/>
      <c r="H72" s="67"/>
      <c r="I72" s="67"/>
      <c r="J72" s="67"/>
      <c r="K72" s="67"/>
      <c r="L72" s="67"/>
      <c r="M72" s="67"/>
      <c r="N72" s="67"/>
      <c r="O72" s="67"/>
      <c r="P72" s="67"/>
      <c r="Q72" s="67"/>
      <c r="R72" s="20"/>
    </row>
  </sheetData>
  <autoFilter ref="A11:A50"/>
  <mergeCells count="27">
    <mergeCell ref="O9:O10"/>
    <mergeCell ref="D6:D10"/>
    <mergeCell ref="E6:J7"/>
    <mergeCell ref="G9:G10"/>
    <mergeCell ref="H9:J9"/>
    <mergeCell ref="N9:N10"/>
    <mergeCell ref="A1:B1"/>
    <mergeCell ref="A2:B2"/>
    <mergeCell ref="A3:Q3"/>
    <mergeCell ref="A4:Q4"/>
    <mergeCell ref="A5:Q5"/>
    <mergeCell ref="A70:E70"/>
    <mergeCell ref="F70:Q70"/>
    <mergeCell ref="K6:K10"/>
    <mergeCell ref="L6:L10"/>
    <mergeCell ref="M6:O7"/>
    <mergeCell ref="P6:P10"/>
    <mergeCell ref="Q6:Q10"/>
    <mergeCell ref="E8:E10"/>
    <mergeCell ref="F8:F10"/>
    <mergeCell ref="G8:J8"/>
    <mergeCell ref="M8:M10"/>
    <mergeCell ref="N8:O8"/>
    <mergeCell ref="M62:Q62"/>
    <mergeCell ref="A6:A10"/>
    <mergeCell ref="B6:B10"/>
    <mergeCell ref="C6:C10"/>
  </mergeCells>
  <conditionalFormatting sqref="B62:B1048576 B1:B14 B16 B18:B25 B27:B30 B32">
    <cfRule type="duplicateValues" dxfId="14" priority="5"/>
  </conditionalFormatting>
  <conditionalFormatting sqref="B62:B1048576">
    <cfRule type="duplicateValues" dxfId="13" priority="6"/>
  </conditionalFormatting>
  <conditionalFormatting sqref="B55 B45:B46 B50">
    <cfRule type="duplicateValues" dxfId="12" priority="7"/>
  </conditionalFormatting>
  <conditionalFormatting sqref="B49">
    <cfRule type="duplicateValues" dxfId="11" priority="3"/>
  </conditionalFormatting>
  <conditionalFormatting sqref="B49">
    <cfRule type="duplicateValues" dxfId="10" priority="4"/>
  </conditionalFormatting>
  <conditionalFormatting sqref="B43:B44 B26 B15 B38:B40 B17">
    <cfRule type="duplicateValues" dxfId="9" priority="8"/>
  </conditionalFormatting>
  <conditionalFormatting sqref="B31">
    <cfRule type="duplicateValues" dxfId="8" priority="2"/>
  </conditionalFormatting>
  <conditionalFormatting sqref="B35">
    <cfRule type="duplicateValues" dxfId="7" priority="9"/>
  </conditionalFormatting>
  <conditionalFormatting sqref="B56:B61 B51:B54 B41:B42 B33:B34 B47:B48">
    <cfRule type="duplicateValues" dxfId="6" priority="10"/>
  </conditionalFormatting>
  <conditionalFormatting sqref="B36:B37">
    <cfRule type="duplicateValues" dxfId="5" priority="1"/>
  </conditionalFormatting>
  <pageMargins left="0.6692913385826772" right="0.23622047244094491" top="0.51181102362204722" bottom="0.51181102362204722" header="0.35433070866141736" footer="3.937007874015748E-2"/>
  <pageSetup paperSize="9" scale="85" orientation="landscape" r:id="rId1"/>
  <headerFooter>
    <oddHeader>&amp;C&amp;P</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S30"/>
  <sheetViews>
    <sheetView view="pageBreakPreview" topLeftCell="A12" zoomScale="70" zoomScaleNormal="55" zoomScaleSheetLayoutView="70" workbookViewId="0">
      <selection activeCell="B6" sqref="B6:B10"/>
    </sheetView>
  </sheetViews>
  <sheetFormatPr defaultColWidth="8.85546875" defaultRowHeight="15.75"/>
  <cols>
    <col min="1" max="1" width="6.140625" style="474" customWidth="1"/>
    <col min="2" max="2" width="38.140625" style="474" customWidth="1"/>
    <col min="3" max="3" width="11.85546875" style="475" customWidth="1"/>
    <col min="4" max="4" width="45.5703125" style="475" hidden="1" customWidth="1"/>
    <col min="5" max="5" width="6.85546875" style="476" customWidth="1"/>
    <col min="6" max="6" width="10.42578125" style="474" customWidth="1"/>
    <col min="7" max="7" width="7.85546875" style="474" customWidth="1"/>
    <col min="8" max="8" width="9.140625" style="474" customWidth="1"/>
    <col min="9" max="9" width="8.42578125" style="474" customWidth="1"/>
    <col min="10" max="10" width="9.42578125" style="474" customWidth="1"/>
    <col min="11" max="11" width="6.140625" style="474" customWidth="1"/>
    <col min="12" max="12" width="7.5703125" style="474" customWidth="1"/>
    <col min="13" max="13" width="8.140625" style="474" customWidth="1"/>
    <col min="14" max="14" width="10" style="474" customWidth="1"/>
    <col min="15" max="15" width="9.42578125" style="474" customWidth="1"/>
    <col min="16" max="16" width="8.85546875" style="474"/>
    <col min="17" max="17" width="12.5703125" style="474" customWidth="1"/>
    <col min="18" max="18" width="8.85546875" style="474"/>
    <col min="19" max="20" width="15.5703125" style="474" bestFit="1" customWidth="1"/>
    <col min="21" max="21" width="12.5703125" style="474" bestFit="1" customWidth="1"/>
    <col min="22" max="22" width="10.42578125" style="474" bestFit="1" customWidth="1"/>
    <col min="23" max="229" width="8.85546875" style="474"/>
    <col min="230" max="230" width="38.140625" style="474" customWidth="1"/>
    <col min="231" max="231" width="11.85546875" style="474" customWidth="1"/>
    <col min="232" max="232" width="45.5703125" style="474" customWidth="1"/>
    <col min="233" max="233" width="8.85546875" style="474"/>
    <col min="234" max="234" width="13.140625" style="474" customWidth="1"/>
    <col min="235" max="235" width="8.85546875" style="474"/>
    <col min="236" max="236" width="11.85546875" style="474" customWidth="1"/>
    <col min="237" max="237" width="10.5703125" style="474" customWidth="1"/>
    <col min="238" max="238" width="11.42578125" style="474" customWidth="1"/>
    <col min="239" max="239" width="8.85546875" style="474"/>
    <col min="240" max="240" width="10.42578125" style="474" customWidth="1"/>
    <col min="241" max="241" width="10.85546875" style="474" customWidth="1"/>
    <col min="242" max="242" width="11.42578125" style="474" customWidth="1"/>
    <col min="243" max="243" width="12" style="474" customWidth="1"/>
    <col min="244" max="244" width="11.85546875" style="474" customWidth="1"/>
    <col min="245" max="245" width="8.5703125" style="474" customWidth="1"/>
    <col min="246" max="246" width="11.42578125" style="474" customWidth="1"/>
    <col min="247" max="247" width="11" style="474" customWidth="1"/>
    <col min="248" max="248" width="11.5703125" style="474" customWidth="1"/>
    <col min="249" max="249" width="8.85546875" style="474"/>
    <col min="250" max="250" width="11.140625" style="474" customWidth="1"/>
    <col min="251" max="485" width="8.85546875" style="474"/>
    <col min="486" max="486" width="38.140625" style="474" customWidth="1"/>
    <col min="487" max="487" width="11.85546875" style="474" customWidth="1"/>
    <col min="488" max="488" width="45.5703125" style="474" customWidth="1"/>
    <col min="489" max="489" width="8.85546875" style="474"/>
    <col min="490" max="490" width="13.140625" style="474" customWidth="1"/>
    <col min="491" max="491" width="8.85546875" style="474"/>
    <col min="492" max="492" width="11.85546875" style="474" customWidth="1"/>
    <col min="493" max="493" width="10.5703125" style="474" customWidth="1"/>
    <col min="494" max="494" width="11.42578125" style="474" customWidth="1"/>
    <col min="495" max="495" width="8.85546875" style="474"/>
    <col min="496" max="496" width="10.42578125" style="474" customWidth="1"/>
    <col min="497" max="497" width="10.85546875" style="474" customWidth="1"/>
    <col min="498" max="498" width="11.42578125" style="474" customWidth="1"/>
    <col min="499" max="499" width="12" style="474" customWidth="1"/>
    <col min="500" max="500" width="11.85546875" style="474" customWidth="1"/>
    <col min="501" max="501" width="8.5703125" style="474" customWidth="1"/>
    <col min="502" max="502" width="11.42578125" style="474" customWidth="1"/>
    <col min="503" max="503" width="11" style="474" customWidth="1"/>
    <col min="504" max="504" width="11.5703125" style="474" customWidth="1"/>
    <col min="505" max="505" width="8.85546875" style="474"/>
    <col min="506" max="506" width="11.140625" style="474" customWidth="1"/>
    <col min="507" max="741" width="8.85546875" style="474"/>
    <col min="742" max="742" width="38.140625" style="474" customWidth="1"/>
    <col min="743" max="743" width="11.85546875" style="474" customWidth="1"/>
    <col min="744" max="744" width="45.5703125" style="474" customWidth="1"/>
    <col min="745" max="745" width="8.85546875" style="474"/>
    <col min="746" max="746" width="13.140625" style="474" customWidth="1"/>
    <col min="747" max="747" width="8.85546875" style="474"/>
    <col min="748" max="748" width="11.85546875" style="474" customWidth="1"/>
    <col min="749" max="749" width="10.5703125" style="474" customWidth="1"/>
    <col min="750" max="750" width="11.42578125" style="474" customWidth="1"/>
    <col min="751" max="751" width="8.85546875" style="474"/>
    <col min="752" max="752" width="10.42578125" style="474" customWidth="1"/>
    <col min="753" max="753" width="10.85546875" style="474" customWidth="1"/>
    <col min="754" max="754" width="11.42578125" style="474" customWidth="1"/>
    <col min="755" max="755" width="12" style="474" customWidth="1"/>
    <col min="756" max="756" width="11.85546875" style="474" customWidth="1"/>
    <col min="757" max="757" width="8.5703125" style="474" customWidth="1"/>
    <col min="758" max="758" width="11.42578125" style="474" customWidth="1"/>
    <col min="759" max="759" width="11" style="474" customWidth="1"/>
    <col min="760" max="760" width="11.5703125" style="474" customWidth="1"/>
    <col min="761" max="761" width="8.85546875" style="474"/>
    <col min="762" max="762" width="11.140625" style="474" customWidth="1"/>
    <col min="763" max="997" width="8.85546875" style="474"/>
    <col min="998" max="998" width="38.140625" style="474" customWidth="1"/>
    <col min="999" max="999" width="11.85546875" style="474" customWidth="1"/>
    <col min="1000" max="1000" width="45.5703125" style="474" customWidth="1"/>
    <col min="1001" max="1001" width="8.85546875" style="474"/>
    <col min="1002" max="1002" width="13.140625" style="474" customWidth="1"/>
    <col min="1003" max="1003" width="8.85546875" style="474"/>
    <col min="1004" max="1004" width="11.85546875" style="474" customWidth="1"/>
    <col min="1005" max="1005" width="10.5703125" style="474" customWidth="1"/>
    <col min="1006" max="1006" width="11.42578125" style="474" customWidth="1"/>
    <col min="1007" max="1007" width="8.85546875" style="474"/>
    <col min="1008" max="1008" width="10.42578125" style="474" customWidth="1"/>
    <col min="1009" max="1009" width="10.85546875" style="474" customWidth="1"/>
    <col min="1010" max="1010" width="11.42578125" style="474" customWidth="1"/>
    <col min="1011" max="1011" width="12" style="474" customWidth="1"/>
    <col min="1012" max="1012" width="11.85546875" style="474" customWidth="1"/>
    <col min="1013" max="1013" width="8.5703125" style="474" customWidth="1"/>
    <col min="1014" max="1014" width="11.42578125" style="474" customWidth="1"/>
    <col min="1015" max="1015" width="11" style="474" customWidth="1"/>
    <col min="1016" max="1016" width="11.5703125" style="474" customWidth="1"/>
    <col min="1017" max="1017" width="8.85546875" style="474"/>
    <col min="1018" max="1018" width="11.140625" style="474" customWidth="1"/>
    <col min="1019" max="1253" width="8.85546875" style="474"/>
    <col min="1254" max="1254" width="38.140625" style="474" customWidth="1"/>
    <col min="1255" max="1255" width="11.85546875" style="474" customWidth="1"/>
    <col min="1256" max="1256" width="45.5703125" style="474" customWidth="1"/>
    <col min="1257" max="1257" width="8.85546875" style="474"/>
    <col min="1258" max="1258" width="13.140625" style="474" customWidth="1"/>
    <col min="1259" max="1259" width="8.85546875" style="474"/>
    <col min="1260" max="1260" width="11.85546875" style="474" customWidth="1"/>
    <col min="1261" max="1261" width="10.5703125" style="474" customWidth="1"/>
    <col min="1262" max="1262" width="11.42578125" style="474" customWidth="1"/>
    <col min="1263" max="1263" width="8.85546875" style="474"/>
    <col min="1264" max="1264" width="10.42578125" style="474" customWidth="1"/>
    <col min="1265" max="1265" width="10.85546875" style="474" customWidth="1"/>
    <col min="1266" max="1266" width="11.42578125" style="474" customWidth="1"/>
    <col min="1267" max="1267" width="12" style="474" customWidth="1"/>
    <col min="1268" max="1268" width="11.85546875" style="474" customWidth="1"/>
    <col min="1269" max="1269" width="8.5703125" style="474" customWidth="1"/>
    <col min="1270" max="1270" width="11.42578125" style="474" customWidth="1"/>
    <col min="1271" max="1271" width="11" style="474" customWidth="1"/>
    <col min="1272" max="1272" width="11.5703125" style="474" customWidth="1"/>
    <col min="1273" max="1273" width="8.85546875" style="474"/>
    <col min="1274" max="1274" width="11.140625" style="474" customWidth="1"/>
    <col min="1275" max="1509" width="8.85546875" style="474"/>
    <col min="1510" max="1510" width="38.140625" style="474" customWidth="1"/>
    <col min="1511" max="1511" width="11.85546875" style="474" customWidth="1"/>
    <col min="1512" max="1512" width="45.5703125" style="474" customWidth="1"/>
    <col min="1513" max="1513" width="8.85546875" style="474"/>
    <col min="1514" max="1514" width="13.140625" style="474" customWidth="1"/>
    <col min="1515" max="1515" width="8.85546875" style="474"/>
    <col min="1516" max="1516" width="11.85546875" style="474" customWidth="1"/>
    <col min="1517" max="1517" width="10.5703125" style="474" customWidth="1"/>
    <col min="1518" max="1518" width="11.42578125" style="474" customWidth="1"/>
    <col min="1519" max="1519" width="8.85546875" style="474"/>
    <col min="1520" max="1520" width="10.42578125" style="474" customWidth="1"/>
    <col min="1521" max="1521" width="10.85546875" style="474" customWidth="1"/>
    <col min="1522" max="1522" width="11.42578125" style="474" customWidth="1"/>
    <col min="1523" max="1523" width="12" style="474" customWidth="1"/>
    <col min="1524" max="1524" width="11.85546875" style="474" customWidth="1"/>
    <col min="1525" max="1525" width="8.5703125" style="474" customWidth="1"/>
    <col min="1526" max="1526" width="11.42578125" style="474" customWidth="1"/>
    <col min="1527" max="1527" width="11" style="474" customWidth="1"/>
    <col min="1528" max="1528" width="11.5703125" style="474" customWidth="1"/>
    <col min="1529" max="1529" width="8.85546875" style="474"/>
    <col min="1530" max="1530" width="11.140625" style="474" customWidth="1"/>
    <col min="1531" max="1765" width="8.85546875" style="474"/>
    <col min="1766" max="1766" width="38.140625" style="474" customWidth="1"/>
    <col min="1767" max="1767" width="11.85546875" style="474" customWidth="1"/>
    <col min="1768" max="1768" width="45.5703125" style="474" customWidth="1"/>
    <col min="1769" max="1769" width="8.85546875" style="474"/>
    <col min="1770" max="1770" width="13.140625" style="474" customWidth="1"/>
    <col min="1771" max="1771" width="8.85546875" style="474"/>
    <col min="1772" max="1772" width="11.85546875" style="474" customWidth="1"/>
    <col min="1773" max="1773" width="10.5703125" style="474" customWidth="1"/>
    <col min="1774" max="1774" width="11.42578125" style="474" customWidth="1"/>
    <col min="1775" max="1775" width="8.85546875" style="474"/>
    <col min="1776" max="1776" width="10.42578125" style="474" customWidth="1"/>
    <col min="1777" max="1777" width="10.85546875" style="474" customWidth="1"/>
    <col min="1778" max="1778" width="11.42578125" style="474" customWidth="1"/>
    <col min="1779" max="1779" width="12" style="474" customWidth="1"/>
    <col min="1780" max="1780" width="11.85546875" style="474" customWidth="1"/>
    <col min="1781" max="1781" width="8.5703125" style="474" customWidth="1"/>
    <col min="1782" max="1782" width="11.42578125" style="474" customWidth="1"/>
    <col min="1783" max="1783" width="11" style="474" customWidth="1"/>
    <col min="1784" max="1784" width="11.5703125" style="474" customWidth="1"/>
    <col min="1785" max="1785" width="8.85546875" style="474"/>
    <col min="1786" max="1786" width="11.140625" style="474" customWidth="1"/>
    <col min="1787" max="2021" width="8.85546875" style="474"/>
    <col min="2022" max="2022" width="38.140625" style="474" customWidth="1"/>
    <col min="2023" max="2023" width="11.85546875" style="474" customWidth="1"/>
    <col min="2024" max="2024" width="45.5703125" style="474" customWidth="1"/>
    <col min="2025" max="2025" width="8.85546875" style="474"/>
    <col min="2026" max="2026" width="13.140625" style="474" customWidth="1"/>
    <col min="2027" max="2027" width="8.85546875" style="474"/>
    <col min="2028" max="2028" width="11.85546875" style="474" customWidth="1"/>
    <col min="2029" max="2029" width="10.5703125" style="474" customWidth="1"/>
    <col min="2030" max="2030" width="11.42578125" style="474" customWidth="1"/>
    <col min="2031" max="2031" width="8.85546875" style="474"/>
    <col min="2032" max="2032" width="10.42578125" style="474" customWidth="1"/>
    <col min="2033" max="2033" width="10.85546875" style="474" customWidth="1"/>
    <col min="2034" max="2034" width="11.42578125" style="474" customWidth="1"/>
    <col min="2035" max="2035" width="12" style="474" customWidth="1"/>
    <col min="2036" max="2036" width="11.85546875" style="474" customWidth="1"/>
    <col min="2037" max="2037" width="8.5703125" style="474" customWidth="1"/>
    <col min="2038" max="2038" width="11.42578125" style="474" customWidth="1"/>
    <col min="2039" max="2039" width="11" style="474" customWidth="1"/>
    <col min="2040" max="2040" width="11.5703125" style="474" customWidth="1"/>
    <col min="2041" max="2041" width="8.85546875" style="474"/>
    <col min="2042" max="2042" width="11.140625" style="474" customWidth="1"/>
    <col min="2043" max="2277" width="8.85546875" style="474"/>
    <col min="2278" max="2278" width="38.140625" style="474" customWidth="1"/>
    <col min="2279" max="2279" width="11.85546875" style="474" customWidth="1"/>
    <col min="2280" max="2280" width="45.5703125" style="474" customWidth="1"/>
    <col min="2281" max="2281" width="8.85546875" style="474"/>
    <col min="2282" max="2282" width="13.140625" style="474" customWidth="1"/>
    <col min="2283" max="2283" width="8.85546875" style="474"/>
    <col min="2284" max="2284" width="11.85546875" style="474" customWidth="1"/>
    <col min="2285" max="2285" width="10.5703125" style="474" customWidth="1"/>
    <col min="2286" max="2286" width="11.42578125" style="474" customWidth="1"/>
    <col min="2287" max="2287" width="8.85546875" style="474"/>
    <col min="2288" max="2288" width="10.42578125" style="474" customWidth="1"/>
    <col min="2289" max="2289" width="10.85546875" style="474" customWidth="1"/>
    <col min="2290" max="2290" width="11.42578125" style="474" customWidth="1"/>
    <col min="2291" max="2291" width="12" style="474" customWidth="1"/>
    <col min="2292" max="2292" width="11.85546875" style="474" customWidth="1"/>
    <col min="2293" max="2293" width="8.5703125" style="474" customWidth="1"/>
    <col min="2294" max="2294" width="11.42578125" style="474" customWidth="1"/>
    <col min="2295" max="2295" width="11" style="474" customWidth="1"/>
    <col min="2296" max="2296" width="11.5703125" style="474" customWidth="1"/>
    <col min="2297" max="2297" width="8.85546875" style="474"/>
    <col min="2298" max="2298" width="11.140625" style="474" customWidth="1"/>
    <col min="2299" max="2533" width="8.85546875" style="474"/>
    <col min="2534" max="2534" width="38.140625" style="474" customWidth="1"/>
    <col min="2535" max="2535" width="11.85546875" style="474" customWidth="1"/>
    <col min="2536" max="2536" width="45.5703125" style="474" customWidth="1"/>
    <col min="2537" max="2537" width="8.85546875" style="474"/>
    <col min="2538" max="2538" width="13.140625" style="474" customWidth="1"/>
    <col min="2539" max="2539" width="8.85546875" style="474"/>
    <col min="2540" max="2540" width="11.85546875" style="474" customWidth="1"/>
    <col min="2541" max="2541" width="10.5703125" style="474" customWidth="1"/>
    <col min="2542" max="2542" width="11.42578125" style="474" customWidth="1"/>
    <col min="2543" max="2543" width="8.85546875" style="474"/>
    <col min="2544" max="2544" width="10.42578125" style="474" customWidth="1"/>
    <col min="2545" max="2545" width="10.85546875" style="474" customWidth="1"/>
    <col min="2546" max="2546" width="11.42578125" style="474" customWidth="1"/>
    <col min="2547" max="2547" width="12" style="474" customWidth="1"/>
    <col min="2548" max="2548" width="11.85546875" style="474" customWidth="1"/>
    <col min="2549" max="2549" width="8.5703125" style="474" customWidth="1"/>
    <col min="2550" max="2550" width="11.42578125" style="474" customWidth="1"/>
    <col min="2551" max="2551" width="11" style="474" customWidth="1"/>
    <col min="2552" max="2552" width="11.5703125" style="474" customWidth="1"/>
    <col min="2553" max="2553" width="8.85546875" style="474"/>
    <col min="2554" max="2554" width="11.140625" style="474" customWidth="1"/>
    <col min="2555" max="2789" width="8.85546875" style="474"/>
    <col min="2790" max="2790" width="38.140625" style="474" customWidth="1"/>
    <col min="2791" max="2791" width="11.85546875" style="474" customWidth="1"/>
    <col min="2792" max="2792" width="45.5703125" style="474" customWidth="1"/>
    <col min="2793" max="2793" width="8.85546875" style="474"/>
    <col min="2794" max="2794" width="13.140625" style="474" customWidth="1"/>
    <col min="2795" max="2795" width="8.85546875" style="474"/>
    <col min="2796" max="2796" width="11.85546875" style="474" customWidth="1"/>
    <col min="2797" max="2797" width="10.5703125" style="474" customWidth="1"/>
    <col min="2798" max="2798" width="11.42578125" style="474" customWidth="1"/>
    <col min="2799" max="2799" width="8.85546875" style="474"/>
    <col min="2800" max="2800" width="10.42578125" style="474" customWidth="1"/>
    <col min="2801" max="2801" width="10.85546875" style="474" customWidth="1"/>
    <col min="2802" max="2802" width="11.42578125" style="474" customWidth="1"/>
    <col min="2803" max="2803" width="12" style="474" customWidth="1"/>
    <col min="2804" max="2804" width="11.85546875" style="474" customWidth="1"/>
    <col min="2805" max="2805" width="8.5703125" style="474" customWidth="1"/>
    <col min="2806" max="2806" width="11.42578125" style="474" customWidth="1"/>
    <col min="2807" max="2807" width="11" style="474" customWidth="1"/>
    <col min="2808" max="2808" width="11.5703125" style="474" customWidth="1"/>
    <col min="2809" max="2809" width="8.85546875" style="474"/>
    <col min="2810" max="2810" width="11.140625" style="474" customWidth="1"/>
    <col min="2811" max="3045" width="8.85546875" style="474"/>
    <col min="3046" max="3046" width="38.140625" style="474" customWidth="1"/>
    <col min="3047" max="3047" width="11.85546875" style="474" customWidth="1"/>
    <col min="3048" max="3048" width="45.5703125" style="474" customWidth="1"/>
    <col min="3049" max="3049" width="8.85546875" style="474"/>
    <col min="3050" max="3050" width="13.140625" style="474" customWidth="1"/>
    <col min="3051" max="3051" width="8.85546875" style="474"/>
    <col min="3052" max="3052" width="11.85546875" style="474" customWidth="1"/>
    <col min="3053" max="3053" width="10.5703125" style="474" customWidth="1"/>
    <col min="3054" max="3054" width="11.42578125" style="474" customWidth="1"/>
    <col min="3055" max="3055" width="8.85546875" style="474"/>
    <col min="3056" max="3056" width="10.42578125" style="474" customWidth="1"/>
    <col min="3057" max="3057" width="10.85546875" style="474" customWidth="1"/>
    <col min="3058" max="3058" width="11.42578125" style="474" customWidth="1"/>
    <col min="3059" max="3059" width="12" style="474" customWidth="1"/>
    <col min="3060" max="3060" width="11.85546875" style="474" customWidth="1"/>
    <col min="3061" max="3061" width="8.5703125" style="474" customWidth="1"/>
    <col min="3062" max="3062" width="11.42578125" style="474" customWidth="1"/>
    <col min="3063" max="3063" width="11" style="474" customWidth="1"/>
    <col min="3064" max="3064" width="11.5703125" style="474" customWidth="1"/>
    <col min="3065" max="3065" width="8.85546875" style="474"/>
    <col min="3066" max="3066" width="11.140625" style="474" customWidth="1"/>
    <col min="3067" max="3301" width="8.85546875" style="474"/>
    <col min="3302" max="3302" width="38.140625" style="474" customWidth="1"/>
    <col min="3303" max="3303" width="11.85546875" style="474" customWidth="1"/>
    <col min="3304" max="3304" width="45.5703125" style="474" customWidth="1"/>
    <col min="3305" max="3305" width="8.85546875" style="474"/>
    <col min="3306" max="3306" width="13.140625" style="474" customWidth="1"/>
    <col min="3307" max="3307" width="8.85546875" style="474"/>
    <col min="3308" max="3308" width="11.85546875" style="474" customWidth="1"/>
    <col min="3309" max="3309" width="10.5703125" style="474" customWidth="1"/>
    <col min="3310" max="3310" width="11.42578125" style="474" customWidth="1"/>
    <col min="3311" max="3311" width="8.85546875" style="474"/>
    <col min="3312" max="3312" width="10.42578125" style="474" customWidth="1"/>
    <col min="3313" max="3313" width="10.85546875" style="474" customWidth="1"/>
    <col min="3314" max="3314" width="11.42578125" style="474" customWidth="1"/>
    <col min="3315" max="3315" width="12" style="474" customWidth="1"/>
    <col min="3316" max="3316" width="11.85546875" style="474" customWidth="1"/>
    <col min="3317" max="3317" width="8.5703125" style="474" customWidth="1"/>
    <col min="3318" max="3318" width="11.42578125" style="474" customWidth="1"/>
    <col min="3319" max="3319" width="11" style="474" customWidth="1"/>
    <col min="3320" max="3320" width="11.5703125" style="474" customWidth="1"/>
    <col min="3321" max="3321" width="8.85546875" style="474"/>
    <col min="3322" max="3322" width="11.140625" style="474" customWidth="1"/>
    <col min="3323" max="3557" width="8.85546875" style="474"/>
    <col min="3558" max="3558" width="38.140625" style="474" customWidth="1"/>
    <col min="3559" max="3559" width="11.85546875" style="474" customWidth="1"/>
    <col min="3560" max="3560" width="45.5703125" style="474" customWidth="1"/>
    <col min="3561" max="3561" width="8.85546875" style="474"/>
    <col min="3562" max="3562" width="13.140625" style="474" customWidth="1"/>
    <col min="3563" max="3563" width="8.85546875" style="474"/>
    <col min="3564" max="3564" width="11.85546875" style="474" customWidth="1"/>
    <col min="3565" max="3565" width="10.5703125" style="474" customWidth="1"/>
    <col min="3566" max="3566" width="11.42578125" style="474" customWidth="1"/>
    <col min="3567" max="3567" width="8.85546875" style="474"/>
    <col min="3568" max="3568" width="10.42578125" style="474" customWidth="1"/>
    <col min="3569" max="3569" width="10.85546875" style="474" customWidth="1"/>
    <col min="3570" max="3570" width="11.42578125" style="474" customWidth="1"/>
    <col min="3571" max="3571" width="12" style="474" customWidth="1"/>
    <col min="3572" max="3572" width="11.85546875" style="474" customWidth="1"/>
    <col min="3573" max="3573" width="8.5703125" style="474" customWidth="1"/>
    <col min="3574" max="3574" width="11.42578125" style="474" customWidth="1"/>
    <col min="3575" max="3575" width="11" style="474" customWidth="1"/>
    <col min="3576" max="3576" width="11.5703125" style="474" customWidth="1"/>
    <col min="3577" max="3577" width="8.85546875" style="474"/>
    <col min="3578" max="3578" width="11.140625" style="474" customWidth="1"/>
    <col min="3579" max="3813" width="8.85546875" style="474"/>
    <col min="3814" max="3814" width="38.140625" style="474" customWidth="1"/>
    <col min="3815" max="3815" width="11.85546875" style="474" customWidth="1"/>
    <col min="3816" max="3816" width="45.5703125" style="474" customWidth="1"/>
    <col min="3817" max="3817" width="8.85546875" style="474"/>
    <col min="3818" max="3818" width="13.140625" style="474" customWidth="1"/>
    <col min="3819" max="3819" width="8.85546875" style="474"/>
    <col min="3820" max="3820" width="11.85546875" style="474" customWidth="1"/>
    <col min="3821" max="3821" width="10.5703125" style="474" customWidth="1"/>
    <col min="3822" max="3822" width="11.42578125" style="474" customWidth="1"/>
    <col min="3823" max="3823" width="8.85546875" style="474"/>
    <col min="3824" max="3824" width="10.42578125" style="474" customWidth="1"/>
    <col min="3825" max="3825" width="10.85546875" style="474" customWidth="1"/>
    <col min="3826" max="3826" width="11.42578125" style="474" customWidth="1"/>
    <col min="3827" max="3827" width="12" style="474" customWidth="1"/>
    <col min="3828" max="3828" width="11.85546875" style="474" customWidth="1"/>
    <col min="3829" max="3829" width="8.5703125" style="474" customWidth="1"/>
    <col min="3830" max="3830" width="11.42578125" style="474" customWidth="1"/>
    <col min="3831" max="3831" width="11" style="474" customWidth="1"/>
    <col min="3832" max="3832" width="11.5703125" style="474" customWidth="1"/>
    <col min="3833" max="3833" width="8.85546875" style="474"/>
    <col min="3834" max="3834" width="11.140625" style="474" customWidth="1"/>
    <col min="3835" max="4069" width="8.85546875" style="474"/>
    <col min="4070" max="4070" width="38.140625" style="474" customWidth="1"/>
    <col min="4071" max="4071" width="11.85546875" style="474" customWidth="1"/>
    <col min="4072" max="4072" width="45.5703125" style="474" customWidth="1"/>
    <col min="4073" max="4073" width="8.85546875" style="474"/>
    <col min="4074" max="4074" width="13.140625" style="474" customWidth="1"/>
    <col min="4075" max="4075" width="8.85546875" style="474"/>
    <col min="4076" max="4076" width="11.85546875" style="474" customWidth="1"/>
    <col min="4077" max="4077" width="10.5703125" style="474" customWidth="1"/>
    <col min="4078" max="4078" width="11.42578125" style="474" customWidth="1"/>
    <col min="4079" max="4079" width="8.85546875" style="474"/>
    <col min="4080" max="4080" width="10.42578125" style="474" customWidth="1"/>
    <col min="4081" max="4081" width="10.85546875" style="474" customWidth="1"/>
    <col min="4082" max="4082" width="11.42578125" style="474" customWidth="1"/>
    <col min="4083" max="4083" width="12" style="474" customWidth="1"/>
    <col min="4084" max="4084" width="11.85546875" style="474" customWidth="1"/>
    <col min="4085" max="4085" width="8.5703125" style="474" customWidth="1"/>
    <col min="4086" max="4086" width="11.42578125" style="474" customWidth="1"/>
    <col min="4087" max="4087" width="11" style="474" customWidth="1"/>
    <col min="4088" max="4088" width="11.5703125" style="474" customWidth="1"/>
    <col min="4089" max="4089" width="8.85546875" style="474"/>
    <col min="4090" max="4090" width="11.140625" style="474" customWidth="1"/>
    <col min="4091" max="4325" width="8.85546875" style="474"/>
    <col min="4326" max="4326" width="38.140625" style="474" customWidth="1"/>
    <col min="4327" max="4327" width="11.85546875" style="474" customWidth="1"/>
    <col min="4328" max="4328" width="45.5703125" style="474" customWidth="1"/>
    <col min="4329" max="4329" width="8.85546875" style="474"/>
    <col min="4330" max="4330" width="13.140625" style="474" customWidth="1"/>
    <col min="4331" max="4331" width="8.85546875" style="474"/>
    <col min="4332" max="4332" width="11.85546875" style="474" customWidth="1"/>
    <col min="4333" max="4333" width="10.5703125" style="474" customWidth="1"/>
    <col min="4334" max="4334" width="11.42578125" style="474" customWidth="1"/>
    <col min="4335" max="4335" width="8.85546875" style="474"/>
    <col min="4336" max="4336" width="10.42578125" style="474" customWidth="1"/>
    <col min="4337" max="4337" width="10.85546875" style="474" customWidth="1"/>
    <col min="4338" max="4338" width="11.42578125" style="474" customWidth="1"/>
    <col min="4339" max="4339" width="12" style="474" customWidth="1"/>
    <col min="4340" max="4340" width="11.85546875" style="474" customWidth="1"/>
    <col min="4341" max="4341" width="8.5703125" style="474" customWidth="1"/>
    <col min="4342" max="4342" width="11.42578125" style="474" customWidth="1"/>
    <col min="4343" max="4343" width="11" style="474" customWidth="1"/>
    <col min="4344" max="4344" width="11.5703125" style="474" customWidth="1"/>
    <col min="4345" max="4345" width="8.85546875" style="474"/>
    <col min="4346" max="4346" width="11.140625" style="474" customWidth="1"/>
    <col min="4347" max="4581" width="8.85546875" style="474"/>
    <col min="4582" max="4582" width="38.140625" style="474" customWidth="1"/>
    <col min="4583" max="4583" width="11.85546875" style="474" customWidth="1"/>
    <col min="4584" max="4584" width="45.5703125" style="474" customWidth="1"/>
    <col min="4585" max="4585" width="8.85546875" style="474"/>
    <col min="4586" max="4586" width="13.140625" style="474" customWidth="1"/>
    <col min="4587" max="4587" width="8.85546875" style="474"/>
    <col min="4588" max="4588" width="11.85546875" style="474" customWidth="1"/>
    <col min="4589" max="4589" width="10.5703125" style="474" customWidth="1"/>
    <col min="4590" max="4590" width="11.42578125" style="474" customWidth="1"/>
    <col min="4591" max="4591" width="8.85546875" style="474"/>
    <col min="4592" max="4592" width="10.42578125" style="474" customWidth="1"/>
    <col min="4593" max="4593" width="10.85546875" style="474" customWidth="1"/>
    <col min="4594" max="4594" width="11.42578125" style="474" customWidth="1"/>
    <col min="4595" max="4595" width="12" style="474" customWidth="1"/>
    <col min="4596" max="4596" width="11.85546875" style="474" customWidth="1"/>
    <col min="4597" max="4597" width="8.5703125" style="474" customWidth="1"/>
    <col min="4598" max="4598" width="11.42578125" style="474" customWidth="1"/>
    <col min="4599" max="4599" width="11" style="474" customWidth="1"/>
    <col min="4600" max="4600" width="11.5703125" style="474" customWidth="1"/>
    <col min="4601" max="4601" width="8.85546875" style="474"/>
    <col min="4602" max="4602" width="11.140625" style="474" customWidth="1"/>
    <col min="4603" max="4837" width="8.85546875" style="474"/>
    <col min="4838" max="4838" width="38.140625" style="474" customWidth="1"/>
    <col min="4839" max="4839" width="11.85546875" style="474" customWidth="1"/>
    <col min="4840" max="4840" width="45.5703125" style="474" customWidth="1"/>
    <col min="4841" max="4841" width="8.85546875" style="474"/>
    <col min="4842" max="4842" width="13.140625" style="474" customWidth="1"/>
    <col min="4843" max="4843" width="8.85546875" style="474"/>
    <col min="4844" max="4844" width="11.85546875" style="474" customWidth="1"/>
    <col min="4845" max="4845" width="10.5703125" style="474" customWidth="1"/>
    <col min="4846" max="4846" width="11.42578125" style="474" customWidth="1"/>
    <col min="4847" max="4847" width="8.85546875" style="474"/>
    <col min="4848" max="4848" width="10.42578125" style="474" customWidth="1"/>
    <col min="4849" max="4849" width="10.85546875" style="474" customWidth="1"/>
    <col min="4850" max="4850" width="11.42578125" style="474" customWidth="1"/>
    <col min="4851" max="4851" width="12" style="474" customWidth="1"/>
    <col min="4852" max="4852" width="11.85546875" style="474" customWidth="1"/>
    <col min="4853" max="4853" width="8.5703125" style="474" customWidth="1"/>
    <col min="4854" max="4854" width="11.42578125" style="474" customWidth="1"/>
    <col min="4855" max="4855" width="11" style="474" customWidth="1"/>
    <col min="4856" max="4856" width="11.5703125" style="474" customWidth="1"/>
    <col min="4857" max="4857" width="8.85546875" style="474"/>
    <col min="4858" max="4858" width="11.140625" style="474" customWidth="1"/>
    <col min="4859" max="5093" width="8.85546875" style="474"/>
    <col min="5094" max="5094" width="38.140625" style="474" customWidth="1"/>
    <col min="5095" max="5095" width="11.85546875" style="474" customWidth="1"/>
    <col min="5096" max="5096" width="45.5703125" style="474" customWidth="1"/>
    <col min="5097" max="5097" width="8.85546875" style="474"/>
    <col min="5098" max="5098" width="13.140625" style="474" customWidth="1"/>
    <col min="5099" max="5099" width="8.85546875" style="474"/>
    <col min="5100" max="5100" width="11.85546875" style="474" customWidth="1"/>
    <col min="5101" max="5101" width="10.5703125" style="474" customWidth="1"/>
    <col min="5102" max="5102" width="11.42578125" style="474" customWidth="1"/>
    <col min="5103" max="5103" width="8.85546875" style="474"/>
    <col min="5104" max="5104" width="10.42578125" style="474" customWidth="1"/>
    <col min="5105" max="5105" width="10.85546875" style="474" customWidth="1"/>
    <col min="5106" max="5106" width="11.42578125" style="474" customWidth="1"/>
    <col min="5107" max="5107" width="12" style="474" customWidth="1"/>
    <col min="5108" max="5108" width="11.85546875" style="474" customWidth="1"/>
    <col min="5109" max="5109" width="8.5703125" style="474" customWidth="1"/>
    <col min="5110" max="5110" width="11.42578125" style="474" customWidth="1"/>
    <col min="5111" max="5111" width="11" style="474" customWidth="1"/>
    <col min="5112" max="5112" width="11.5703125" style="474" customWidth="1"/>
    <col min="5113" max="5113" width="8.85546875" style="474"/>
    <col min="5114" max="5114" width="11.140625" style="474" customWidth="1"/>
    <col min="5115" max="5349" width="8.85546875" style="474"/>
    <col min="5350" max="5350" width="38.140625" style="474" customWidth="1"/>
    <col min="5351" max="5351" width="11.85546875" style="474" customWidth="1"/>
    <col min="5352" max="5352" width="45.5703125" style="474" customWidth="1"/>
    <col min="5353" max="5353" width="8.85546875" style="474"/>
    <col min="5354" max="5354" width="13.140625" style="474" customWidth="1"/>
    <col min="5355" max="5355" width="8.85546875" style="474"/>
    <col min="5356" max="5356" width="11.85546875" style="474" customWidth="1"/>
    <col min="5357" max="5357" width="10.5703125" style="474" customWidth="1"/>
    <col min="5358" max="5358" width="11.42578125" style="474" customWidth="1"/>
    <col min="5359" max="5359" width="8.85546875" style="474"/>
    <col min="5360" max="5360" width="10.42578125" style="474" customWidth="1"/>
    <col min="5361" max="5361" width="10.85546875" style="474" customWidth="1"/>
    <col min="5362" max="5362" width="11.42578125" style="474" customWidth="1"/>
    <col min="5363" max="5363" width="12" style="474" customWidth="1"/>
    <col min="5364" max="5364" width="11.85546875" style="474" customWidth="1"/>
    <col min="5365" max="5365" width="8.5703125" style="474" customWidth="1"/>
    <col min="5366" max="5366" width="11.42578125" style="474" customWidth="1"/>
    <col min="5367" max="5367" width="11" style="474" customWidth="1"/>
    <col min="5368" max="5368" width="11.5703125" style="474" customWidth="1"/>
    <col min="5369" max="5369" width="8.85546875" style="474"/>
    <col min="5370" max="5370" width="11.140625" style="474" customWidth="1"/>
    <col min="5371" max="5605" width="8.85546875" style="474"/>
    <col min="5606" max="5606" width="38.140625" style="474" customWidth="1"/>
    <col min="5607" max="5607" width="11.85546875" style="474" customWidth="1"/>
    <col min="5608" max="5608" width="45.5703125" style="474" customWidth="1"/>
    <col min="5609" max="5609" width="8.85546875" style="474"/>
    <col min="5610" max="5610" width="13.140625" style="474" customWidth="1"/>
    <col min="5611" max="5611" width="8.85546875" style="474"/>
    <col min="5612" max="5612" width="11.85546875" style="474" customWidth="1"/>
    <col min="5613" max="5613" width="10.5703125" style="474" customWidth="1"/>
    <col min="5614" max="5614" width="11.42578125" style="474" customWidth="1"/>
    <col min="5615" max="5615" width="8.85546875" style="474"/>
    <col min="5616" max="5616" width="10.42578125" style="474" customWidth="1"/>
    <col min="5617" max="5617" width="10.85546875" style="474" customWidth="1"/>
    <col min="5618" max="5618" width="11.42578125" style="474" customWidth="1"/>
    <col min="5619" max="5619" width="12" style="474" customWidth="1"/>
    <col min="5620" max="5620" width="11.85546875" style="474" customWidth="1"/>
    <col min="5621" max="5621" width="8.5703125" style="474" customWidth="1"/>
    <col min="5622" max="5622" width="11.42578125" style="474" customWidth="1"/>
    <col min="5623" max="5623" width="11" style="474" customWidth="1"/>
    <col min="5624" max="5624" width="11.5703125" style="474" customWidth="1"/>
    <col min="5625" max="5625" width="8.85546875" style="474"/>
    <col min="5626" max="5626" width="11.140625" style="474" customWidth="1"/>
    <col min="5627" max="5861" width="8.85546875" style="474"/>
    <col min="5862" max="5862" width="38.140625" style="474" customWidth="1"/>
    <col min="5863" max="5863" width="11.85546875" style="474" customWidth="1"/>
    <col min="5864" max="5864" width="45.5703125" style="474" customWidth="1"/>
    <col min="5865" max="5865" width="8.85546875" style="474"/>
    <col min="5866" max="5866" width="13.140625" style="474" customWidth="1"/>
    <col min="5867" max="5867" width="8.85546875" style="474"/>
    <col min="5868" max="5868" width="11.85546875" style="474" customWidth="1"/>
    <col min="5869" max="5869" width="10.5703125" style="474" customWidth="1"/>
    <col min="5870" max="5870" width="11.42578125" style="474" customWidth="1"/>
    <col min="5871" max="5871" width="8.85546875" style="474"/>
    <col min="5872" max="5872" width="10.42578125" style="474" customWidth="1"/>
    <col min="5873" max="5873" width="10.85546875" style="474" customWidth="1"/>
    <col min="5874" max="5874" width="11.42578125" style="474" customWidth="1"/>
    <col min="5875" max="5875" width="12" style="474" customWidth="1"/>
    <col min="5876" max="5876" width="11.85546875" style="474" customWidth="1"/>
    <col min="5877" max="5877" width="8.5703125" style="474" customWidth="1"/>
    <col min="5878" max="5878" width="11.42578125" style="474" customWidth="1"/>
    <col min="5879" max="5879" width="11" style="474" customWidth="1"/>
    <col min="5880" max="5880" width="11.5703125" style="474" customWidth="1"/>
    <col min="5881" max="5881" width="8.85546875" style="474"/>
    <col min="5882" max="5882" width="11.140625" style="474" customWidth="1"/>
    <col min="5883" max="6117" width="8.85546875" style="474"/>
    <col min="6118" max="6118" width="38.140625" style="474" customWidth="1"/>
    <col min="6119" max="6119" width="11.85546875" style="474" customWidth="1"/>
    <col min="6120" max="6120" width="45.5703125" style="474" customWidth="1"/>
    <col min="6121" max="6121" width="8.85546875" style="474"/>
    <col min="6122" max="6122" width="13.140625" style="474" customWidth="1"/>
    <col min="6123" max="6123" width="8.85546875" style="474"/>
    <col min="6124" max="6124" width="11.85546875" style="474" customWidth="1"/>
    <col min="6125" max="6125" width="10.5703125" style="474" customWidth="1"/>
    <col min="6126" max="6126" width="11.42578125" style="474" customWidth="1"/>
    <col min="6127" max="6127" width="8.85546875" style="474"/>
    <col min="6128" max="6128" width="10.42578125" style="474" customWidth="1"/>
    <col min="6129" max="6129" width="10.85546875" style="474" customWidth="1"/>
    <col min="6130" max="6130" width="11.42578125" style="474" customWidth="1"/>
    <col min="6131" max="6131" width="12" style="474" customWidth="1"/>
    <col min="6132" max="6132" width="11.85546875" style="474" customWidth="1"/>
    <col min="6133" max="6133" width="8.5703125" style="474" customWidth="1"/>
    <col min="6134" max="6134" width="11.42578125" style="474" customWidth="1"/>
    <col min="6135" max="6135" width="11" style="474" customWidth="1"/>
    <col min="6136" max="6136" width="11.5703125" style="474" customWidth="1"/>
    <col min="6137" max="6137" width="8.85546875" style="474"/>
    <col min="6138" max="6138" width="11.140625" style="474" customWidth="1"/>
    <col min="6139" max="6373" width="8.85546875" style="474"/>
    <col min="6374" max="6374" width="38.140625" style="474" customWidth="1"/>
    <col min="6375" max="6375" width="11.85546875" style="474" customWidth="1"/>
    <col min="6376" max="6376" width="45.5703125" style="474" customWidth="1"/>
    <col min="6377" max="6377" width="8.85546875" style="474"/>
    <col min="6378" max="6378" width="13.140625" style="474" customWidth="1"/>
    <col min="6379" max="6379" width="8.85546875" style="474"/>
    <col min="6380" max="6380" width="11.85546875" style="474" customWidth="1"/>
    <col min="6381" max="6381" width="10.5703125" style="474" customWidth="1"/>
    <col min="6382" max="6382" width="11.42578125" style="474" customWidth="1"/>
    <col min="6383" max="6383" width="8.85546875" style="474"/>
    <col min="6384" max="6384" width="10.42578125" style="474" customWidth="1"/>
    <col min="6385" max="6385" width="10.85546875" style="474" customWidth="1"/>
    <col min="6386" max="6386" width="11.42578125" style="474" customWidth="1"/>
    <col min="6387" max="6387" width="12" style="474" customWidth="1"/>
    <col min="6388" max="6388" width="11.85546875" style="474" customWidth="1"/>
    <col min="6389" max="6389" width="8.5703125" style="474" customWidth="1"/>
    <col min="6390" max="6390" width="11.42578125" style="474" customWidth="1"/>
    <col min="6391" max="6391" width="11" style="474" customWidth="1"/>
    <col min="6392" max="6392" width="11.5703125" style="474" customWidth="1"/>
    <col min="6393" max="6393" width="8.85546875" style="474"/>
    <col min="6394" max="6394" width="11.140625" style="474" customWidth="1"/>
    <col min="6395" max="6629" width="8.85546875" style="474"/>
    <col min="6630" max="6630" width="38.140625" style="474" customWidth="1"/>
    <col min="6631" max="6631" width="11.85546875" style="474" customWidth="1"/>
    <col min="6632" max="6632" width="45.5703125" style="474" customWidth="1"/>
    <col min="6633" max="6633" width="8.85546875" style="474"/>
    <col min="6634" max="6634" width="13.140625" style="474" customWidth="1"/>
    <col min="6635" max="6635" width="8.85546875" style="474"/>
    <col min="6636" max="6636" width="11.85546875" style="474" customWidth="1"/>
    <col min="6637" max="6637" width="10.5703125" style="474" customWidth="1"/>
    <col min="6638" max="6638" width="11.42578125" style="474" customWidth="1"/>
    <col min="6639" max="6639" width="8.85546875" style="474"/>
    <col min="6640" max="6640" width="10.42578125" style="474" customWidth="1"/>
    <col min="6641" max="6641" width="10.85546875" style="474" customWidth="1"/>
    <col min="6642" max="6642" width="11.42578125" style="474" customWidth="1"/>
    <col min="6643" max="6643" width="12" style="474" customWidth="1"/>
    <col min="6644" max="6644" width="11.85546875" style="474" customWidth="1"/>
    <col min="6645" max="6645" width="8.5703125" style="474" customWidth="1"/>
    <col min="6646" max="6646" width="11.42578125" style="474" customWidth="1"/>
    <col min="6647" max="6647" width="11" style="474" customWidth="1"/>
    <col min="6648" max="6648" width="11.5703125" style="474" customWidth="1"/>
    <col min="6649" max="6649" width="8.85546875" style="474"/>
    <col min="6650" max="6650" width="11.140625" style="474" customWidth="1"/>
    <col min="6651" max="6885" width="8.85546875" style="474"/>
    <col min="6886" max="6886" width="38.140625" style="474" customWidth="1"/>
    <col min="6887" max="6887" width="11.85546875" style="474" customWidth="1"/>
    <col min="6888" max="6888" width="45.5703125" style="474" customWidth="1"/>
    <col min="6889" max="6889" width="8.85546875" style="474"/>
    <col min="6890" max="6890" width="13.140625" style="474" customWidth="1"/>
    <col min="6891" max="6891" width="8.85546875" style="474"/>
    <col min="6892" max="6892" width="11.85546875" style="474" customWidth="1"/>
    <col min="6893" max="6893" width="10.5703125" style="474" customWidth="1"/>
    <col min="6894" max="6894" width="11.42578125" style="474" customWidth="1"/>
    <col min="6895" max="6895" width="8.85546875" style="474"/>
    <col min="6896" max="6896" width="10.42578125" style="474" customWidth="1"/>
    <col min="6897" max="6897" width="10.85546875" style="474" customWidth="1"/>
    <col min="6898" max="6898" width="11.42578125" style="474" customWidth="1"/>
    <col min="6899" max="6899" width="12" style="474" customWidth="1"/>
    <col min="6900" max="6900" width="11.85546875" style="474" customWidth="1"/>
    <col min="6901" max="6901" width="8.5703125" style="474" customWidth="1"/>
    <col min="6902" max="6902" width="11.42578125" style="474" customWidth="1"/>
    <col min="6903" max="6903" width="11" style="474" customWidth="1"/>
    <col min="6904" max="6904" width="11.5703125" style="474" customWidth="1"/>
    <col min="6905" max="6905" width="8.85546875" style="474"/>
    <col min="6906" max="6906" width="11.140625" style="474" customWidth="1"/>
    <col min="6907" max="7141" width="8.85546875" style="474"/>
    <col min="7142" max="7142" width="38.140625" style="474" customWidth="1"/>
    <col min="7143" max="7143" width="11.85546875" style="474" customWidth="1"/>
    <col min="7144" max="7144" width="45.5703125" style="474" customWidth="1"/>
    <col min="7145" max="7145" width="8.85546875" style="474"/>
    <col min="7146" max="7146" width="13.140625" style="474" customWidth="1"/>
    <col min="7147" max="7147" width="8.85546875" style="474"/>
    <col min="7148" max="7148" width="11.85546875" style="474" customWidth="1"/>
    <col min="7149" max="7149" width="10.5703125" style="474" customWidth="1"/>
    <col min="7150" max="7150" width="11.42578125" style="474" customWidth="1"/>
    <col min="7151" max="7151" width="8.85546875" style="474"/>
    <col min="7152" max="7152" width="10.42578125" style="474" customWidth="1"/>
    <col min="7153" max="7153" width="10.85546875" style="474" customWidth="1"/>
    <col min="7154" max="7154" width="11.42578125" style="474" customWidth="1"/>
    <col min="7155" max="7155" width="12" style="474" customWidth="1"/>
    <col min="7156" max="7156" width="11.85546875" style="474" customWidth="1"/>
    <col min="7157" max="7157" width="8.5703125" style="474" customWidth="1"/>
    <col min="7158" max="7158" width="11.42578125" style="474" customWidth="1"/>
    <col min="7159" max="7159" width="11" style="474" customWidth="1"/>
    <col min="7160" max="7160" width="11.5703125" style="474" customWidth="1"/>
    <col min="7161" max="7161" width="8.85546875" style="474"/>
    <col min="7162" max="7162" width="11.140625" style="474" customWidth="1"/>
    <col min="7163" max="7397" width="8.85546875" style="474"/>
    <col min="7398" max="7398" width="38.140625" style="474" customWidth="1"/>
    <col min="7399" max="7399" width="11.85546875" style="474" customWidth="1"/>
    <col min="7400" max="7400" width="45.5703125" style="474" customWidth="1"/>
    <col min="7401" max="7401" width="8.85546875" style="474"/>
    <col min="7402" max="7402" width="13.140625" style="474" customWidth="1"/>
    <col min="7403" max="7403" width="8.85546875" style="474"/>
    <col min="7404" max="7404" width="11.85546875" style="474" customWidth="1"/>
    <col min="7405" max="7405" width="10.5703125" style="474" customWidth="1"/>
    <col min="7406" max="7406" width="11.42578125" style="474" customWidth="1"/>
    <col min="7407" max="7407" width="8.85546875" style="474"/>
    <col min="7408" max="7408" width="10.42578125" style="474" customWidth="1"/>
    <col min="7409" max="7409" width="10.85546875" style="474" customWidth="1"/>
    <col min="7410" max="7410" width="11.42578125" style="474" customWidth="1"/>
    <col min="7411" max="7411" width="12" style="474" customWidth="1"/>
    <col min="7412" max="7412" width="11.85546875" style="474" customWidth="1"/>
    <col min="7413" max="7413" width="8.5703125" style="474" customWidth="1"/>
    <col min="7414" max="7414" width="11.42578125" style="474" customWidth="1"/>
    <col min="7415" max="7415" width="11" style="474" customWidth="1"/>
    <col min="7416" max="7416" width="11.5703125" style="474" customWidth="1"/>
    <col min="7417" max="7417" width="8.85546875" style="474"/>
    <col min="7418" max="7418" width="11.140625" style="474" customWidth="1"/>
    <col min="7419" max="7653" width="8.85546875" style="474"/>
    <col min="7654" max="7654" width="38.140625" style="474" customWidth="1"/>
    <col min="7655" max="7655" width="11.85546875" style="474" customWidth="1"/>
    <col min="7656" max="7656" width="45.5703125" style="474" customWidth="1"/>
    <col min="7657" max="7657" width="8.85546875" style="474"/>
    <col min="7658" max="7658" width="13.140625" style="474" customWidth="1"/>
    <col min="7659" max="7659" width="8.85546875" style="474"/>
    <col min="7660" max="7660" width="11.85546875" style="474" customWidth="1"/>
    <col min="7661" max="7661" width="10.5703125" style="474" customWidth="1"/>
    <col min="7662" max="7662" width="11.42578125" style="474" customWidth="1"/>
    <col min="7663" max="7663" width="8.85546875" style="474"/>
    <col min="7664" max="7664" width="10.42578125" style="474" customWidth="1"/>
    <col min="7665" max="7665" width="10.85546875" style="474" customWidth="1"/>
    <col min="7666" max="7666" width="11.42578125" style="474" customWidth="1"/>
    <col min="7667" max="7667" width="12" style="474" customWidth="1"/>
    <col min="7668" max="7668" width="11.85546875" style="474" customWidth="1"/>
    <col min="7669" max="7669" width="8.5703125" style="474" customWidth="1"/>
    <col min="7670" max="7670" width="11.42578125" style="474" customWidth="1"/>
    <col min="7671" max="7671" width="11" style="474" customWidth="1"/>
    <col min="7672" max="7672" width="11.5703125" style="474" customWidth="1"/>
    <col min="7673" max="7673" width="8.85546875" style="474"/>
    <col min="7674" max="7674" width="11.140625" style="474" customWidth="1"/>
    <col min="7675" max="7909" width="8.85546875" style="474"/>
    <col min="7910" max="7910" width="38.140625" style="474" customWidth="1"/>
    <col min="7911" max="7911" width="11.85546875" style="474" customWidth="1"/>
    <col min="7912" max="7912" width="45.5703125" style="474" customWidth="1"/>
    <col min="7913" max="7913" width="8.85546875" style="474"/>
    <col min="7914" max="7914" width="13.140625" style="474" customWidth="1"/>
    <col min="7915" max="7915" width="8.85546875" style="474"/>
    <col min="7916" max="7916" width="11.85546875" style="474" customWidth="1"/>
    <col min="7917" max="7917" width="10.5703125" style="474" customWidth="1"/>
    <col min="7918" max="7918" width="11.42578125" style="474" customWidth="1"/>
    <col min="7919" max="7919" width="8.85546875" style="474"/>
    <col min="7920" max="7920" width="10.42578125" style="474" customWidth="1"/>
    <col min="7921" max="7921" width="10.85546875" style="474" customWidth="1"/>
    <col min="7922" max="7922" width="11.42578125" style="474" customWidth="1"/>
    <col min="7923" max="7923" width="12" style="474" customWidth="1"/>
    <col min="7924" max="7924" width="11.85546875" style="474" customWidth="1"/>
    <col min="7925" max="7925" width="8.5703125" style="474" customWidth="1"/>
    <col min="7926" max="7926" width="11.42578125" style="474" customWidth="1"/>
    <col min="7927" max="7927" width="11" style="474" customWidth="1"/>
    <col min="7928" max="7928" width="11.5703125" style="474" customWidth="1"/>
    <col min="7929" max="7929" width="8.85546875" style="474"/>
    <col min="7930" max="7930" width="11.140625" style="474" customWidth="1"/>
    <col min="7931" max="8165" width="8.85546875" style="474"/>
    <col min="8166" max="8166" width="38.140625" style="474" customWidth="1"/>
    <col min="8167" max="8167" width="11.85546875" style="474" customWidth="1"/>
    <col min="8168" max="8168" width="45.5703125" style="474" customWidth="1"/>
    <col min="8169" max="8169" width="8.85546875" style="474"/>
    <col min="8170" max="8170" width="13.140625" style="474" customWidth="1"/>
    <col min="8171" max="8171" width="8.85546875" style="474"/>
    <col min="8172" max="8172" width="11.85546875" style="474" customWidth="1"/>
    <col min="8173" max="8173" width="10.5703125" style="474" customWidth="1"/>
    <col min="8174" max="8174" width="11.42578125" style="474" customWidth="1"/>
    <col min="8175" max="8175" width="8.85546875" style="474"/>
    <col min="8176" max="8176" width="10.42578125" style="474" customWidth="1"/>
    <col min="8177" max="8177" width="10.85546875" style="474" customWidth="1"/>
    <col min="8178" max="8178" width="11.42578125" style="474" customWidth="1"/>
    <col min="8179" max="8179" width="12" style="474" customWidth="1"/>
    <col min="8180" max="8180" width="11.85546875" style="474" customWidth="1"/>
    <col min="8181" max="8181" width="8.5703125" style="474" customWidth="1"/>
    <col min="8182" max="8182" width="11.42578125" style="474" customWidth="1"/>
    <col min="8183" max="8183" width="11" style="474" customWidth="1"/>
    <col min="8184" max="8184" width="11.5703125" style="474" customWidth="1"/>
    <col min="8185" max="8185" width="8.85546875" style="474"/>
    <col min="8186" max="8186" width="11.140625" style="474" customWidth="1"/>
    <col min="8187" max="8421" width="8.85546875" style="474"/>
    <col min="8422" max="8422" width="38.140625" style="474" customWidth="1"/>
    <col min="8423" max="8423" width="11.85546875" style="474" customWidth="1"/>
    <col min="8424" max="8424" width="45.5703125" style="474" customWidth="1"/>
    <col min="8425" max="8425" width="8.85546875" style="474"/>
    <col min="8426" max="8426" width="13.140625" style="474" customWidth="1"/>
    <col min="8427" max="8427" width="8.85546875" style="474"/>
    <col min="8428" max="8428" width="11.85546875" style="474" customWidth="1"/>
    <col min="8429" max="8429" width="10.5703125" style="474" customWidth="1"/>
    <col min="8430" max="8430" width="11.42578125" style="474" customWidth="1"/>
    <col min="8431" max="8431" width="8.85546875" style="474"/>
    <col min="8432" max="8432" width="10.42578125" style="474" customWidth="1"/>
    <col min="8433" max="8433" width="10.85546875" style="474" customWidth="1"/>
    <col min="8434" max="8434" width="11.42578125" style="474" customWidth="1"/>
    <col min="8435" max="8435" width="12" style="474" customWidth="1"/>
    <col min="8436" max="8436" width="11.85546875" style="474" customWidth="1"/>
    <col min="8437" max="8437" width="8.5703125" style="474" customWidth="1"/>
    <col min="8438" max="8438" width="11.42578125" style="474" customWidth="1"/>
    <col min="8439" max="8439" width="11" style="474" customWidth="1"/>
    <col min="8440" max="8440" width="11.5703125" style="474" customWidth="1"/>
    <col min="8441" max="8441" width="8.85546875" style="474"/>
    <col min="8442" max="8442" width="11.140625" style="474" customWidth="1"/>
    <col min="8443" max="8677" width="8.85546875" style="474"/>
    <col min="8678" max="8678" width="38.140625" style="474" customWidth="1"/>
    <col min="8679" max="8679" width="11.85546875" style="474" customWidth="1"/>
    <col min="8680" max="8680" width="45.5703125" style="474" customWidth="1"/>
    <col min="8681" max="8681" width="8.85546875" style="474"/>
    <col min="8682" max="8682" width="13.140625" style="474" customWidth="1"/>
    <col min="8683" max="8683" width="8.85546875" style="474"/>
    <col min="8684" max="8684" width="11.85546875" style="474" customWidth="1"/>
    <col min="8685" max="8685" width="10.5703125" style="474" customWidth="1"/>
    <col min="8686" max="8686" width="11.42578125" style="474" customWidth="1"/>
    <col min="8687" max="8687" width="8.85546875" style="474"/>
    <col min="8688" max="8688" width="10.42578125" style="474" customWidth="1"/>
    <col min="8689" max="8689" width="10.85546875" style="474" customWidth="1"/>
    <col min="8690" max="8690" width="11.42578125" style="474" customWidth="1"/>
    <col min="8691" max="8691" width="12" style="474" customWidth="1"/>
    <col min="8692" max="8692" width="11.85546875" style="474" customWidth="1"/>
    <col min="8693" max="8693" width="8.5703125" style="474" customWidth="1"/>
    <col min="8694" max="8694" width="11.42578125" style="474" customWidth="1"/>
    <col min="8695" max="8695" width="11" style="474" customWidth="1"/>
    <col min="8696" max="8696" width="11.5703125" style="474" customWidth="1"/>
    <col min="8697" max="8697" width="8.85546875" style="474"/>
    <col min="8698" max="8698" width="11.140625" style="474" customWidth="1"/>
    <col min="8699" max="8933" width="8.85546875" style="474"/>
    <col min="8934" max="8934" width="38.140625" style="474" customWidth="1"/>
    <col min="8935" max="8935" width="11.85546875" style="474" customWidth="1"/>
    <col min="8936" max="8936" width="45.5703125" style="474" customWidth="1"/>
    <col min="8937" max="8937" width="8.85546875" style="474"/>
    <col min="8938" max="8938" width="13.140625" style="474" customWidth="1"/>
    <col min="8939" max="8939" width="8.85546875" style="474"/>
    <col min="8940" max="8940" width="11.85546875" style="474" customWidth="1"/>
    <col min="8941" max="8941" width="10.5703125" style="474" customWidth="1"/>
    <col min="8942" max="8942" width="11.42578125" style="474" customWidth="1"/>
    <col min="8943" max="8943" width="8.85546875" style="474"/>
    <col min="8944" max="8944" width="10.42578125" style="474" customWidth="1"/>
    <col min="8945" max="8945" width="10.85546875" style="474" customWidth="1"/>
    <col min="8946" max="8946" width="11.42578125" style="474" customWidth="1"/>
    <col min="8947" max="8947" width="12" style="474" customWidth="1"/>
    <col min="8948" max="8948" width="11.85546875" style="474" customWidth="1"/>
    <col min="8949" max="8949" width="8.5703125" style="474" customWidth="1"/>
    <col min="8950" max="8950" width="11.42578125" style="474" customWidth="1"/>
    <col min="8951" max="8951" width="11" style="474" customWidth="1"/>
    <col min="8952" max="8952" width="11.5703125" style="474" customWidth="1"/>
    <col min="8953" max="8953" width="8.85546875" style="474"/>
    <col min="8954" max="8954" width="11.140625" style="474" customWidth="1"/>
    <col min="8955" max="9189" width="8.85546875" style="474"/>
    <col min="9190" max="9190" width="38.140625" style="474" customWidth="1"/>
    <col min="9191" max="9191" width="11.85546875" style="474" customWidth="1"/>
    <col min="9192" max="9192" width="45.5703125" style="474" customWidth="1"/>
    <col min="9193" max="9193" width="8.85546875" style="474"/>
    <col min="9194" max="9194" width="13.140625" style="474" customWidth="1"/>
    <col min="9195" max="9195" width="8.85546875" style="474"/>
    <col min="9196" max="9196" width="11.85546875" style="474" customWidth="1"/>
    <col min="9197" max="9197" width="10.5703125" style="474" customWidth="1"/>
    <col min="9198" max="9198" width="11.42578125" style="474" customWidth="1"/>
    <col min="9199" max="9199" width="8.85546875" style="474"/>
    <col min="9200" max="9200" width="10.42578125" style="474" customWidth="1"/>
    <col min="9201" max="9201" width="10.85546875" style="474" customWidth="1"/>
    <col min="9202" max="9202" width="11.42578125" style="474" customWidth="1"/>
    <col min="9203" max="9203" width="12" style="474" customWidth="1"/>
    <col min="9204" max="9204" width="11.85546875" style="474" customWidth="1"/>
    <col min="9205" max="9205" width="8.5703125" style="474" customWidth="1"/>
    <col min="9206" max="9206" width="11.42578125" style="474" customWidth="1"/>
    <col min="9207" max="9207" width="11" style="474" customWidth="1"/>
    <col min="9208" max="9208" width="11.5703125" style="474" customWidth="1"/>
    <col min="9209" max="9209" width="8.85546875" style="474"/>
    <col min="9210" max="9210" width="11.140625" style="474" customWidth="1"/>
    <col min="9211" max="9445" width="8.85546875" style="474"/>
    <col min="9446" max="9446" width="38.140625" style="474" customWidth="1"/>
    <col min="9447" max="9447" width="11.85546875" style="474" customWidth="1"/>
    <col min="9448" max="9448" width="45.5703125" style="474" customWidth="1"/>
    <col min="9449" max="9449" width="8.85546875" style="474"/>
    <col min="9450" max="9450" width="13.140625" style="474" customWidth="1"/>
    <col min="9451" max="9451" width="8.85546875" style="474"/>
    <col min="9452" max="9452" width="11.85546875" style="474" customWidth="1"/>
    <col min="9453" max="9453" width="10.5703125" style="474" customWidth="1"/>
    <col min="9454" max="9454" width="11.42578125" style="474" customWidth="1"/>
    <col min="9455" max="9455" width="8.85546875" style="474"/>
    <col min="9456" max="9456" width="10.42578125" style="474" customWidth="1"/>
    <col min="9457" max="9457" width="10.85546875" style="474" customWidth="1"/>
    <col min="9458" max="9458" width="11.42578125" style="474" customWidth="1"/>
    <col min="9459" max="9459" width="12" style="474" customWidth="1"/>
    <col min="9460" max="9460" width="11.85546875" style="474" customWidth="1"/>
    <col min="9461" max="9461" width="8.5703125" style="474" customWidth="1"/>
    <col min="9462" max="9462" width="11.42578125" style="474" customWidth="1"/>
    <col min="9463" max="9463" width="11" style="474" customWidth="1"/>
    <col min="9464" max="9464" width="11.5703125" style="474" customWidth="1"/>
    <col min="9465" max="9465" width="8.85546875" style="474"/>
    <col min="9466" max="9466" width="11.140625" style="474" customWidth="1"/>
    <col min="9467" max="9701" width="8.85546875" style="474"/>
    <col min="9702" max="9702" width="38.140625" style="474" customWidth="1"/>
    <col min="9703" max="9703" width="11.85546875" style="474" customWidth="1"/>
    <col min="9704" max="9704" width="45.5703125" style="474" customWidth="1"/>
    <col min="9705" max="9705" width="8.85546875" style="474"/>
    <col min="9706" max="9706" width="13.140625" style="474" customWidth="1"/>
    <col min="9707" max="9707" width="8.85546875" style="474"/>
    <col min="9708" max="9708" width="11.85546875" style="474" customWidth="1"/>
    <col min="9709" max="9709" width="10.5703125" style="474" customWidth="1"/>
    <col min="9710" max="9710" width="11.42578125" style="474" customWidth="1"/>
    <col min="9711" max="9711" width="8.85546875" style="474"/>
    <col min="9712" max="9712" width="10.42578125" style="474" customWidth="1"/>
    <col min="9713" max="9713" width="10.85546875" style="474" customWidth="1"/>
    <col min="9714" max="9714" width="11.42578125" style="474" customWidth="1"/>
    <col min="9715" max="9715" width="12" style="474" customWidth="1"/>
    <col min="9716" max="9716" width="11.85546875" style="474" customWidth="1"/>
    <col min="9717" max="9717" width="8.5703125" style="474" customWidth="1"/>
    <col min="9718" max="9718" width="11.42578125" style="474" customWidth="1"/>
    <col min="9719" max="9719" width="11" style="474" customWidth="1"/>
    <col min="9720" max="9720" width="11.5703125" style="474" customWidth="1"/>
    <col min="9721" max="9721" width="8.85546875" style="474"/>
    <col min="9722" max="9722" width="11.140625" style="474" customWidth="1"/>
    <col min="9723" max="9957" width="8.85546875" style="474"/>
    <col min="9958" max="9958" width="38.140625" style="474" customWidth="1"/>
    <col min="9959" max="9959" width="11.85546875" style="474" customWidth="1"/>
    <col min="9960" max="9960" width="45.5703125" style="474" customWidth="1"/>
    <col min="9961" max="9961" width="8.85546875" style="474"/>
    <col min="9962" max="9962" width="13.140625" style="474" customWidth="1"/>
    <col min="9963" max="9963" width="8.85546875" style="474"/>
    <col min="9964" max="9964" width="11.85546875" style="474" customWidth="1"/>
    <col min="9965" max="9965" width="10.5703125" style="474" customWidth="1"/>
    <col min="9966" max="9966" width="11.42578125" style="474" customWidth="1"/>
    <col min="9967" max="9967" width="8.85546875" style="474"/>
    <col min="9968" max="9968" width="10.42578125" style="474" customWidth="1"/>
    <col min="9969" max="9969" width="10.85546875" style="474" customWidth="1"/>
    <col min="9970" max="9970" width="11.42578125" style="474" customWidth="1"/>
    <col min="9971" max="9971" width="12" style="474" customWidth="1"/>
    <col min="9972" max="9972" width="11.85546875" style="474" customWidth="1"/>
    <col min="9973" max="9973" width="8.5703125" style="474" customWidth="1"/>
    <col min="9974" max="9974" width="11.42578125" style="474" customWidth="1"/>
    <col min="9975" max="9975" width="11" style="474" customWidth="1"/>
    <col min="9976" max="9976" width="11.5703125" style="474" customWidth="1"/>
    <col min="9977" max="9977" width="8.85546875" style="474"/>
    <col min="9978" max="9978" width="11.140625" style="474" customWidth="1"/>
    <col min="9979" max="10213" width="8.85546875" style="474"/>
    <col min="10214" max="10214" width="38.140625" style="474" customWidth="1"/>
    <col min="10215" max="10215" width="11.85546875" style="474" customWidth="1"/>
    <col min="10216" max="10216" width="45.5703125" style="474" customWidth="1"/>
    <col min="10217" max="10217" width="8.85546875" style="474"/>
    <col min="10218" max="10218" width="13.140625" style="474" customWidth="1"/>
    <col min="10219" max="10219" width="8.85546875" style="474"/>
    <col min="10220" max="10220" width="11.85546875" style="474" customWidth="1"/>
    <col min="10221" max="10221" width="10.5703125" style="474" customWidth="1"/>
    <col min="10222" max="10222" width="11.42578125" style="474" customWidth="1"/>
    <col min="10223" max="10223" width="8.85546875" style="474"/>
    <col min="10224" max="10224" width="10.42578125" style="474" customWidth="1"/>
    <col min="10225" max="10225" width="10.85546875" style="474" customWidth="1"/>
    <col min="10226" max="10226" width="11.42578125" style="474" customWidth="1"/>
    <col min="10227" max="10227" width="12" style="474" customWidth="1"/>
    <col min="10228" max="10228" width="11.85546875" style="474" customWidth="1"/>
    <col min="10229" max="10229" width="8.5703125" style="474" customWidth="1"/>
    <col min="10230" max="10230" width="11.42578125" style="474" customWidth="1"/>
    <col min="10231" max="10231" width="11" style="474" customWidth="1"/>
    <col min="10232" max="10232" width="11.5703125" style="474" customWidth="1"/>
    <col min="10233" max="10233" width="8.85546875" style="474"/>
    <col min="10234" max="10234" width="11.140625" style="474" customWidth="1"/>
    <col min="10235" max="10469" width="8.85546875" style="474"/>
    <col min="10470" max="10470" width="38.140625" style="474" customWidth="1"/>
    <col min="10471" max="10471" width="11.85546875" style="474" customWidth="1"/>
    <col min="10472" max="10472" width="45.5703125" style="474" customWidth="1"/>
    <col min="10473" max="10473" width="8.85546875" style="474"/>
    <col min="10474" max="10474" width="13.140625" style="474" customWidth="1"/>
    <col min="10475" max="10475" width="8.85546875" style="474"/>
    <col min="10476" max="10476" width="11.85546875" style="474" customWidth="1"/>
    <col min="10477" max="10477" width="10.5703125" style="474" customWidth="1"/>
    <col min="10478" max="10478" width="11.42578125" style="474" customWidth="1"/>
    <col min="10479" max="10479" width="8.85546875" style="474"/>
    <col min="10480" max="10480" width="10.42578125" style="474" customWidth="1"/>
    <col min="10481" max="10481" width="10.85546875" style="474" customWidth="1"/>
    <col min="10482" max="10482" width="11.42578125" style="474" customWidth="1"/>
    <col min="10483" max="10483" width="12" style="474" customWidth="1"/>
    <col min="10484" max="10484" width="11.85546875" style="474" customWidth="1"/>
    <col min="10485" max="10485" width="8.5703125" style="474" customWidth="1"/>
    <col min="10486" max="10486" width="11.42578125" style="474" customWidth="1"/>
    <col min="10487" max="10487" width="11" style="474" customWidth="1"/>
    <col min="10488" max="10488" width="11.5703125" style="474" customWidth="1"/>
    <col min="10489" max="10489" width="8.85546875" style="474"/>
    <col min="10490" max="10490" width="11.140625" style="474" customWidth="1"/>
    <col min="10491" max="10725" width="8.85546875" style="474"/>
    <col min="10726" max="10726" width="38.140625" style="474" customWidth="1"/>
    <col min="10727" max="10727" width="11.85546875" style="474" customWidth="1"/>
    <col min="10728" max="10728" width="45.5703125" style="474" customWidth="1"/>
    <col min="10729" max="10729" width="8.85546875" style="474"/>
    <col min="10730" max="10730" width="13.140625" style="474" customWidth="1"/>
    <col min="10731" max="10731" width="8.85546875" style="474"/>
    <col min="10732" max="10732" width="11.85546875" style="474" customWidth="1"/>
    <col min="10733" max="10733" width="10.5703125" style="474" customWidth="1"/>
    <col min="10734" max="10734" width="11.42578125" style="474" customWidth="1"/>
    <col min="10735" max="10735" width="8.85546875" style="474"/>
    <col min="10736" max="10736" width="10.42578125" style="474" customWidth="1"/>
    <col min="10737" max="10737" width="10.85546875" style="474" customWidth="1"/>
    <col min="10738" max="10738" width="11.42578125" style="474" customWidth="1"/>
    <col min="10739" max="10739" width="12" style="474" customWidth="1"/>
    <col min="10740" max="10740" width="11.85546875" style="474" customWidth="1"/>
    <col min="10741" max="10741" width="8.5703125" style="474" customWidth="1"/>
    <col min="10742" max="10742" width="11.42578125" style="474" customWidth="1"/>
    <col min="10743" max="10743" width="11" style="474" customWidth="1"/>
    <col min="10744" max="10744" width="11.5703125" style="474" customWidth="1"/>
    <col min="10745" max="10745" width="8.85546875" style="474"/>
    <col min="10746" max="10746" width="11.140625" style="474" customWidth="1"/>
    <col min="10747" max="10981" width="8.85546875" style="474"/>
    <col min="10982" max="10982" width="38.140625" style="474" customWidth="1"/>
    <col min="10983" max="10983" width="11.85546875" style="474" customWidth="1"/>
    <col min="10984" max="10984" width="45.5703125" style="474" customWidth="1"/>
    <col min="10985" max="10985" width="8.85546875" style="474"/>
    <col min="10986" max="10986" width="13.140625" style="474" customWidth="1"/>
    <col min="10987" max="10987" width="8.85546875" style="474"/>
    <col min="10988" max="10988" width="11.85546875" style="474" customWidth="1"/>
    <col min="10989" max="10989" width="10.5703125" style="474" customWidth="1"/>
    <col min="10990" max="10990" width="11.42578125" style="474" customWidth="1"/>
    <col min="10991" max="10991" width="8.85546875" style="474"/>
    <col min="10992" max="10992" width="10.42578125" style="474" customWidth="1"/>
    <col min="10993" max="10993" width="10.85546875" style="474" customWidth="1"/>
    <col min="10994" max="10994" width="11.42578125" style="474" customWidth="1"/>
    <col min="10995" max="10995" width="12" style="474" customWidth="1"/>
    <col min="10996" max="10996" width="11.85546875" style="474" customWidth="1"/>
    <col min="10997" max="10997" width="8.5703125" style="474" customWidth="1"/>
    <col min="10998" max="10998" width="11.42578125" style="474" customWidth="1"/>
    <col min="10999" max="10999" width="11" style="474" customWidth="1"/>
    <col min="11000" max="11000" width="11.5703125" style="474" customWidth="1"/>
    <col min="11001" max="11001" width="8.85546875" style="474"/>
    <col min="11002" max="11002" width="11.140625" style="474" customWidth="1"/>
    <col min="11003" max="11237" width="8.85546875" style="474"/>
    <col min="11238" max="11238" width="38.140625" style="474" customWidth="1"/>
    <col min="11239" max="11239" width="11.85546875" style="474" customWidth="1"/>
    <col min="11240" max="11240" width="45.5703125" style="474" customWidth="1"/>
    <col min="11241" max="11241" width="8.85546875" style="474"/>
    <col min="11242" max="11242" width="13.140625" style="474" customWidth="1"/>
    <col min="11243" max="11243" width="8.85546875" style="474"/>
    <col min="11244" max="11244" width="11.85546875" style="474" customWidth="1"/>
    <col min="11245" max="11245" width="10.5703125" style="474" customWidth="1"/>
    <col min="11246" max="11246" width="11.42578125" style="474" customWidth="1"/>
    <col min="11247" max="11247" width="8.85546875" style="474"/>
    <col min="11248" max="11248" width="10.42578125" style="474" customWidth="1"/>
    <col min="11249" max="11249" width="10.85546875" style="474" customWidth="1"/>
    <col min="11250" max="11250" width="11.42578125" style="474" customWidth="1"/>
    <col min="11251" max="11251" width="12" style="474" customWidth="1"/>
    <col min="11252" max="11252" width="11.85546875" style="474" customWidth="1"/>
    <col min="11253" max="11253" width="8.5703125" style="474" customWidth="1"/>
    <col min="11254" max="11254" width="11.42578125" style="474" customWidth="1"/>
    <col min="11255" max="11255" width="11" style="474" customWidth="1"/>
    <col min="11256" max="11256" width="11.5703125" style="474" customWidth="1"/>
    <col min="11257" max="11257" width="8.85546875" style="474"/>
    <col min="11258" max="11258" width="11.140625" style="474" customWidth="1"/>
    <col min="11259" max="11493" width="8.85546875" style="474"/>
    <col min="11494" max="11494" width="38.140625" style="474" customWidth="1"/>
    <col min="11495" max="11495" width="11.85546875" style="474" customWidth="1"/>
    <col min="11496" max="11496" width="45.5703125" style="474" customWidth="1"/>
    <col min="11497" max="11497" width="8.85546875" style="474"/>
    <col min="11498" max="11498" width="13.140625" style="474" customWidth="1"/>
    <col min="11499" max="11499" width="8.85546875" style="474"/>
    <col min="11500" max="11500" width="11.85546875" style="474" customWidth="1"/>
    <col min="11501" max="11501" width="10.5703125" style="474" customWidth="1"/>
    <col min="11502" max="11502" width="11.42578125" style="474" customWidth="1"/>
    <col min="11503" max="11503" width="8.85546875" style="474"/>
    <col min="11504" max="11504" width="10.42578125" style="474" customWidth="1"/>
    <col min="11505" max="11505" width="10.85546875" style="474" customWidth="1"/>
    <col min="11506" max="11506" width="11.42578125" style="474" customWidth="1"/>
    <col min="11507" max="11507" width="12" style="474" customWidth="1"/>
    <col min="11508" max="11508" width="11.85546875" style="474" customWidth="1"/>
    <col min="11509" max="11509" width="8.5703125" style="474" customWidth="1"/>
    <col min="11510" max="11510" width="11.42578125" style="474" customWidth="1"/>
    <col min="11511" max="11511" width="11" style="474" customWidth="1"/>
    <col min="11512" max="11512" width="11.5703125" style="474" customWidth="1"/>
    <col min="11513" max="11513" width="8.85546875" style="474"/>
    <col min="11514" max="11514" width="11.140625" style="474" customWidth="1"/>
    <col min="11515" max="11749" width="8.85546875" style="474"/>
    <col min="11750" max="11750" width="38.140625" style="474" customWidth="1"/>
    <col min="11751" max="11751" width="11.85546875" style="474" customWidth="1"/>
    <col min="11752" max="11752" width="45.5703125" style="474" customWidth="1"/>
    <col min="11753" max="11753" width="8.85546875" style="474"/>
    <col min="11754" max="11754" width="13.140625" style="474" customWidth="1"/>
    <col min="11755" max="11755" width="8.85546875" style="474"/>
    <col min="11756" max="11756" width="11.85546875" style="474" customWidth="1"/>
    <col min="11757" max="11757" width="10.5703125" style="474" customWidth="1"/>
    <col min="11758" max="11758" width="11.42578125" style="474" customWidth="1"/>
    <col min="11759" max="11759" width="8.85546875" style="474"/>
    <col min="11760" max="11760" width="10.42578125" style="474" customWidth="1"/>
    <col min="11761" max="11761" width="10.85546875" style="474" customWidth="1"/>
    <col min="11762" max="11762" width="11.42578125" style="474" customWidth="1"/>
    <col min="11763" max="11763" width="12" style="474" customWidth="1"/>
    <col min="11764" max="11764" width="11.85546875" style="474" customWidth="1"/>
    <col min="11765" max="11765" width="8.5703125" style="474" customWidth="1"/>
    <col min="11766" max="11766" width="11.42578125" style="474" customWidth="1"/>
    <col min="11767" max="11767" width="11" style="474" customWidth="1"/>
    <col min="11768" max="11768" width="11.5703125" style="474" customWidth="1"/>
    <col min="11769" max="11769" width="8.85546875" style="474"/>
    <col min="11770" max="11770" width="11.140625" style="474" customWidth="1"/>
    <col min="11771" max="12005" width="8.85546875" style="474"/>
    <col min="12006" max="12006" width="38.140625" style="474" customWidth="1"/>
    <col min="12007" max="12007" width="11.85546875" style="474" customWidth="1"/>
    <col min="12008" max="12008" width="45.5703125" style="474" customWidth="1"/>
    <col min="12009" max="12009" width="8.85546875" style="474"/>
    <col min="12010" max="12010" width="13.140625" style="474" customWidth="1"/>
    <col min="12011" max="12011" width="8.85546875" style="474"/>
    <col min="12012" max="12012" width="11.85546875" style="474" customWidth="1"/>
    <col min="12013" max="12013" width="10.5703125" style="474" customWidth="1"/>
    <col min="12014" max="12014" width="11.42578125" style="474" customWidth="1"/>
    <col min="12015" max="12015" width="8.85546875" style="474"/>
    <col min="12016" max="12016" width="10.42578125" style="474" customWidth="1"/>
    <col min="12017" max="12017" width="10.85546875" style="474" customWidth="1"/>
    <col min="12018" max="12018" width="11.42578125" style="474" customWidth="1"/>
    <col min="12019" max="12019" width="12" style="474" customWidth="1"/>
    <col min="12020" max="12020" width="11.85546875" style="474" customWidth="1"/>
    <col min="12021" max="12021" width="8.5703125" style="474" customWidth="1"/>
    <col min="12022" max="12022" width="11.42578125" style="474" customWidth="1"/>
    <col min="12023" max="12023" width="11" style="474" customWidth="1"/>
    <col min="12024" max="12024" width="11.5703125" style="474" customWidth="1"/>
    <col min="12025" max="12025" width="8.85546875" style="474"/>
    <col min="12026" max="12026" width="11.140625" style="474" customWidth="1"/>
    <col min="12027" max="12261" width="8.85546875" style="474"/>
    <col min="12262" max="12262" width="38.140625" style="474" customWidth="1"/>
    <col min="12263" max="12263" width="11.85546875" style="474" customWidth="1"/>
    <col min="12264" max="12264" width="45.5703125" style="474" customWidth="1"/>
    <col min="12265" max="12265" width="8.85546875" style="474"/>
    <col min="12266" max="12266" width="13.140625" style="474" customWidth="1"/>
    <col min="12267" max="12267" width="8.85546875" style="474"/>
    <col min="12268" max="12268" width="11.85546875" style="474" customWidth="1"/>
    <col min="12269" max="12269" width="10.5703125" style="474" customWidth="1"/>
    <col min="12270" max="12270" width="11.42578125" style="474" customWidth="1"/>
    <col min="12271" max="12271" width="8.85546875" style="474"/>
    <col min="12272" max="12272" width="10.42578125" style="474" customWidth="1"/>
    <col min="12273" max="12273" width="10.85546875" style="474" customWidth="1"/>
    <col min="12274" max="12274" width="11.42578125" style="474" customWidth="1"/>
    <col min="12275" max="12275" width="12" style="474" customWidth="1"/>
    <col min="12276" max="12276" width="11.85546875" style="474" customWidth="1"/>
    <col min="12277" max="12277" width="8.5703125" style="474" customWidth="1"/>
    <col min="12278" max="12278" width="11.42578125" style="474" customWidth="1"/>
    <col min="12279" max="12279" width="11" style="474" customWidth="1"/>
    <col min="12280" max="12280" width="11.5703125" style="474" customWidth="1"/>
    <col min="12281" max="12281" width="8.85546875" style="474"/>
    <col min="12282" max="12282" width="11.140625" style="474" customWidth="1"/>
    <col min="12283" max="12517" width="8.85546875" style="474"/>
    <col min="12518" max="12518" width="38.140625" style="474" customWidth="1"/>
    <col min="12519" max="12519" width="11.85546875" style="474" customWidth="1"/>
    <col min="12520" max="12520" width="45.5703125" style="474" customWidth="1"/>
    <col min="12521" max="12521" width="8.85546875" style="474"/>
    <col min="12522" max="12522" width="13.140625" style="474" customWidth="1"/>
    <col min="12523" max="12523" width="8.85546875" style="474"/>
    <col min="12524" max="12524" width="11.85546875" style="474" customWidth="1"/>
    <col min="12525" max="12525" width="10.5703125" style="474" customWidth="1"/>
    <col min="12526" max="12526" width="11.42578125" style="474" customWidth="1"/>
    <col min="12527" max="12527" width="8.85546875" style="474"/>
    <col min="12528" max="12528" width="10.42578125" style="474" customWidth="1"/>
    <col min="12529" max="12529" width="10.85546875" style="474" customWidth="1"/>
    <col min="12530" max="12530" width="11.42578125" style="474" customWidth="1"/>
    <col min="12531" max="12531" width="12" style="474" customWidth="1"/>
    <col min="12532" max="12532" width="11.85546875" style="474" customWidth="1"/>
    <col min="12533" max="12533" width="8.5703125" style="474" customWidth="1"/>
    <col min="12534" max="12534" width="11.42578125" style="474" customWidth="1"/>
    <col min="12535" max="12535" width="11" style="474" customWidth="1"/>
    <col min="12536" max="12536" width="11.5703125" style="474" customWidth="1"/>
    <col min="12537" max="12537" width="8.85546875" style="474"/>
    <col min="12538" max="12538" width="11.140625" style="474" customWidth="1"/>
    <col min="12539" max="12773" width="8.85546875" style="474"/>
    <col min="12774" max="12774" width="38.140625" style="474" customWidth="1"/>
    <col min="12775" max="12775" width="11.85546875" style="474" customWidth="1"/>
    <col min="12776" max="12776" width="45.5703125" style="474" customWidth="1"/>
    <col min="12777" max="12777" width="8.85546875" style="474"/>
    <col min="12778" max="12778" width="13.140625" style="474" customWidth="1"/>
    <col min="12779" max="12779" width="8.85546875" style="474"/>
    <col min="12780" max="12780" width="11.85546875" style="474" customWidth="1"/>
    <col min="12781" max="12781" width="10.5703125" style="474" customWidth="1"/>
    <col min="12782" max="12782" width="11.42578125" style="474" customWidth="1"/>
    <col min="12783" max="12783" width="8.85546875" style="474"/>
    <col min="12784" max="12784" width="10.42578125" style="474" customWidth="1"/>
    <col min="12785" max="12785" width="10.85546875" style="474" customWidth="1"/>
    <col min="12786" max="12786" width="11.42578125" style="474" customWidth="1"/>
    <col min="12787" max="12787" width="12" style="474" customWidth="1"/>
    <col min="12788" max="12788" width="11.85546875" style="474" customWidth="1"/>
    <col min="12789" max="12789" width="8.5703125" style="474" customWidth="1"/>
    <col min="12790" max="12790" width="11.42578125" style="474" customWidth="1"/>
    <col min="12791" max="12791" width="11" style="474" customWidth="1"/>
    <col min="12792" max="12792" width="11.5703125" style="474" customWidth="1"/>
    <col min="12793" max="12793" width="8.85546875" style="474"/>
    <col min="12794" max="12794" width="11.140625" style="474" customWidth="1"/>
    <col min="12795" max="13029" width="8.85546875" style="474"/>
    <col min="13030" max="13030" width="38.140625" style="474" customWidth="1"/>
    <col min="13031" max="13031" width="11.85546875" style="474" customWidth="1"/>
    <col min="13032" max="13032" width="45.5703125" style="474" customWidth="1"/>
    <col min="13033" max="13033" width="8.85546875" style="474"/>
    <col min="13034" max="13034" width="13.140625" style="474" customWidth="1"/>
    <col min="13035" max="13035" width="8.85546875" style="474"/>
    <col min="13036" max="13036" width="11.85546875" style="474" customWidth="1"/>
    <col min="13037" max="13037" width="10.5703125" style="474" customWidth="1"/>
    <col min="13038" max="13038" width="11.42578125" style="474" customWidth="1"/>
    <col min="13039" max="13039" width="8.85546875" style="474"/>
    <col min="13040" max="13040" width="10.42578125" style="474" customWidth="1"/>
    <col min="13041" max="13041" width="10.85546875" style="474" customWidth="1"/>
    <col min="13042" max="13042" width="11.42578125" style="474" customWidth="1"/>
    <col min="13043" max="13043" width="12" style="474" customWidth="1"/>
    <col min="13044" max="13044" width="11.85546875" style="474" customWidth="1"/>
    <col min="13045" max="13045" width="8.5703125" style="474" customWidth="1"/>
    <col min="13046" max="13046" width="11.42578125" style="474" customWidth="1"/>
    <col min="13047" max="13047" width="11" style="474" customWidth="1"/>
    <col min="13048" max="13048" width="11.5703125" style="474" customWidth="1"/>
    <col min="13049" max="13049" width="8.85546875" style="474"/>
    <col min="13050" max="13050" width="11.140625" style="474" customWidth="1"/>
    <col min="13051" max="13285" width="8.85546875" style="474"/>
    <col min="13286" max="13286" width="38.140625" style="474" customWidth="1"/>
    <col min="13287" max="13287" width="11.85546875" style="474" customWidth="1"/>
    <col min="13288" max="13288" width="45.5703125" style="474" customWidth="1"/>
    <col min="13289" max="13289" width="8.85546875" style="474"/>
    <col min="13290" max="13290" width="13.140625" style="474" customWidth="1"/>
    <col min="13291" max="13291" width="8.85546875" style="474"/>
    <col min="13292" max="13292" width="11.85546875" style="474" customWidth="1"/>
    <col min="13293" max="13293" width="10.5703125" style="474" customWidth="1"/>
    <col min="13294" max="13294" width="11.42578125" style="474" customWidth="1"/>
    <col min="13295" max="13295" width="8.85546875" style="474"/>
    <col min="13296" max="13296" width="10.42578125" style="474" customWidth="1"/>
    <col min="13297" max="13297" width="10.85546875" style="474" customWidth="1"/>
    <col min="13298" max="13298" width="11.42578125" style="474" customWidth="1"/>
    <col min="13299" max="13299" width="12" style="474" customWidth="1"/>
    <col min="13300" max="13300" width="11.85546875" style="474" customWidth="1"/>
    <col min="13301" max="13301" width="8.5703125" style="474" customWidth="1"/>
    <col min="13302" max="13302" width="11.42578125" style="474" customWidth="1"/>
    <col min="13303" max="13303" width="11" style="474" customWidth="1"/>
    <col min="13304" max="13304" width="11.5703125" style="474" customWidth="1"/>
    <col min="13305" max="13305" width="8.85546875" style="474"/>
    <col min="13306" max="13306" width="11.140625" style="474" customWidth="1"/>
    <col min="13307" max="13541" width="8.85546875" style="474"/>
    <col min="13542" max="13542" width="38.140625" style="474" customWidth="1"/>
    <col min="13543" max="13543" width="11.85546875" style="474" customWidth="1"/>
    <col min="13544" max="13544" width="45.5703125" style="474" customWidth="1"/>
    <col min="13545" max="13545" width="8.85546875" style="474"/>
    <col min="13546" max="13546" width="13.140625" style="474" customWidth="1"/>
    <col min="13547" max="13547" width="8.85546875" style="474"/>
    <col min="13548" max="13548" width="11.85546875" style="474" customWidth="1"/>
    <col min="13549" max="13549" width="10.5703125" style="474" customWidth="1"/>
    <col min="13550" max="13550" width="11.42578125" style="474" customWidth="1"/>
    <col min="13551" max="13551" width="8.85546875" style="474"/>
    <col min="13552" max="13552" width="10.42578125" style="474" customWidth="1"/>
    <col min="13553" max="13553" width="10.85546875" style="474" customWidth="1"/>
    <col min="13554" max="13554" width="11.42578125" style="474" customWidth="1"/>
    <col min="13555" max="13555" width="12" style="474" customWidth="1"/>
    <col min="13556" max="13556" width="11.85546875" style="474" customWidth="1"/>
    <col min="13557" max="13557" width="8.5703125" style="474" customWidth="1"/>
    <col min="13558" max="13558" width="11.42578125" style="474" customWidth="1"/>
    <col min="13559" max="13559" width="11" style="474" customWidth="1"/>
    <col min="13560" max="13560" width="11.5703125" style="474" customWidth="1"/>
    <col min="13561" max="13561" width="8.85546875" style="474"/>
    <col min="13562" max="13562" width="11.140625" style="474" customWidth="1"/>
    <col min="13563" max="13797" width="8.85546875" style="474"/>
    <col min="13798" max="13798" width="38.140625" style="474" customWidth="1"/>
    <col min="13799" max="13799" width="11.85546875" style="474" customWidth="1"/>
    <col min="13800" max="13800" width="45.5703125" style="474" customWidth="1"/>
    <col min="13801" max="13801" width="8.85546875" style="474"/>
    <col min="13802" max="13802" width="13.140625" style="474" customWidth="1"/>
    <col min="13803" max="13803" width="8.85546875" style="474"/>
    <col min="13804" max="13804" width="11.85546875" style="474" customWidth="1"/>
    <col min="13805" max="13805" width="10.5703125" style="474" customWidth="1"/>
    <col min="13806" max="13806" width="11.42578125" style="474" customWidth="1"/>
    <col min="13807" max="13807" width="8.85546875" style="474"/>
    <col min="13808" max="13808" width="10.42578125" style="474" customWidth="1"/>
    <col min="13809" max="13809" width="10.85546875" style="474" customWidth="1"/>
    <col min="13810" max="13810" width="11.42578125" style="474" customWidth="1"/>
    <col min="13811" max="13811" width="12" style="474" customWidth="1"/>
    <col min="13812" max="13812" width="11.85546875" style="474" customWidth="1"/>
    <col min="13813" max="13813" width="8.5703125" style="474" customWidth="1"/>
    <col min="13814" max="13814" width="11.42578125" style="474" customWidth="1"/>
    <col min="13815" max="13815" width="11" style="474" customWidth="1"/>
    <col min="13816" max="13816" width="11.5703125" style="474" customWidth="1"/>
    <col min="13817" max="13817" width="8.85546875" style="474"/>
    <col min="13818" max="13818" width="11.140625" style="474" customWidth="1"/>
    <col min="13819" max="14053" width="8.85546875" style="474"/>
    <col min="14054" max="14054" width="38.140625" style="474" customWidth="1"/>
    <col min="14055" max="14055" width="11.85546875" style="474" customWidth="1"/>
    <col min="14056" max="14056" width="45.5703125" style="474" customWidth="1"/>
    <col min="14057" max="14057" width="8.85546875" style="474"/>
    <col min="14058" max="14058" width="13.140625" style="474" customWidth="1"/>
    <col min="14059" max="14059" width="8.85546875" style="474"/>
    <col min="14060" max="14060" width="11.85546875" style="474" customWidth="1"/>
    <col min="14061" max="14061" width="10.5703125" style="474" customWidth="1"/>
    <col min="14062" max="14062" width="11.42578125" style="474" customWidth="1"/>
    <col min="14063" max="14063" width="8.85546875" style="474"/>
    <col min="14064" max="14064" width="10.42578125" style="474" customWidth="1"/>
    <col min="14065" max="14065" width="10.85546875" style="474" customWidth="1"/>
    <col min="14066" max="14066" width="11.42578125" style="474" customWidth="1"/>
    <col min="14067" max="14067" width="12" style="474" customWidth="1"/>
    <col min="14068" max="14068" width="11.85546875" style="474" customWidth="1"/>
    <col min="14069" max="14069" width="8.5703125" style="474" customWidth="1"/>
    <col min="14070" max="14070" width="11.42578125" style="474" customWidth="1"/>
    <col min="14071" max="14071" width="11" style="474" customWidth="1"/>
    <col min="14072" max="14072" width="11.5703125" style="474" customWidth="1"/>
    <col min="14073" max="14073" width="8.85546875" style="474"/>
    <col min="14074" max="14074" width="11.140625" style="474" customWidth="1"/>
    <col min="14075" max="14309" width="8.85546875" style="474"/>
    <col min="14310" max="14310" width="38.140625" style="474" customWidth="1"/>
    <col min="14311" max="14311" width="11.85546875" style="474" customWidth="1"/>
    <col min="14312" max="14312" width="45.5703125" style="474" customWidth="1"/>
    <col min="14313" max="14313" width="8.85546875" style="474"/>
    <col min="14314" max="14314" width="13.140625" style="474" customWidth="1"/>
    <col min="14315" max="14315" width="8.85546875" style="474"/>
    <col min="14316" max="14316" width="11.85546875" style="474" customWidth="1"/>
    <col min="14317" max="14317" width="10.5703125" style="474" customWidth="1"/>
    <col min="14318" max="14318" width="11.42578125" style="474" customWidth="1"/>
    <col min="14319" max="14319" width="8.85546875" style="474"/>
    <col min="14320" max="14320" width="10.42578125" style="474" customWidth="1"/>
    <col min="14321" max="14321" width="10.85546875" style="474" customWidth="1"/>
    <col min="14322" max="14322" width="11.42578125" style="474" customWidth="1"/>
    <col min="14323" max="14323" width="12" style="474" customWidth="1"/>
    <col min="14324" max="14324" width="11.85546875" style="474" customWidth="1"/>
    <col min="14325" max="14325" width="8.5703125" style="474" customWidth="1"/>
    <col min="14326" max="14326" width="11.42578125" style="474" customWidth="1"/>
    <col min="14327" max="14327" width="11" style="474" customWidth="1"/>
    <col min="14328" max="14328" width="11.5703125" style="474" customWidth="1"/>
    <col min="14329" max="14329" width="8.85546875" style="474"/>
    <col min="14330" max="14330" width="11.140625" style="474" customWidth="1"/>
    <col min="14331" max="14565" width="8.85546875" style="474"/>
    <col min="14566" max="14566" width="38.140625" style="474" customWidth="1"/>
    <col min="14567" max="14567" width="11.85546875" style="474" customWidth="1"/>
    <col min="14568" max="14568" width="45.5703125" style="474" customWidth="1"/>
    <col min="14569" max="14569" width="8.85546875" style="474"/>
    <col min="14570" max="14570" width="13.140625" style="474" customWidth="1"/>
    <col min="14571" max="14571" width="8.85546875" style="474"/>
    <col min="14572" max="14572" width="11.85546875" style="474" customWidth="1"/>
    <col min="14573" max="14573" width="10.5703125" style="474" customWidth="1"/>
    <col min="14574" max="14574" width="11.42578125" style="474" customWidth="1"/>
    <col min="14575" max="14575" width="8.85546875" style="474"/>
    <col min="14576" max="14576" width="10.42578125" style="474" customWidth="1"/>
    <col min="14577" max="14577" width="10.85546875" style="474" customWidth="1"/>
    <col min="14578" max="14578" width="11.42578125" style="474" customWidth="1"/>
    <col min="14579" max="14579" width="12" style="474" customWidth="1"/>
    <col min="14580" max="14580" width="11.85546875" style="474" customWidth="1"/>
    <col min="14581" max="14581" width="8.5703125" style="474" customWidth="1"/>
    <col min="14582" max="14582" width="11.42578125" style="474" customWidth="1"/>
    <col min="14583" max="14583" width="11" style="474" customWidth="1"/>
    <col min="14584" max="14584" width="11.5703125" style="474" customWidth="1"/>
    <col min="14585" max="14585" width="8.85546875" style="474"/>
    <col min="14586" max="14586" width="11.140625" style="474" customWidth="1"/>
    <col min="14587" max="14821" width="8.85546875" style="474"/>
    <col min="14822" max="14822" width="38.140625" style="474" customWidth="1"/>
    <col min="14823" max="14823" width="11.85546875" style="474" customWidth="1"/>
    <col min="14824" max="14824" width="45.5703125" style="474" customWidth="1"/>
    <col min="14825" max="14825" width="8.85546875" style="474"/>
    <col min="14826" max="14826" width="13.140625" style="474" customWidth="1"/>
    <col min="14827" max="14827" width="8.85546875" style="474"/>
    <col min="14828" max="14828" width="11.85546875" style="474" customWidth="1"/>
    <col min="14829" max="14829" width="10.5703125" style="474" customWidth="1"/>
    <col min="14830" max="14830" width="11.42578125" style="474" customWidth="1"/>
    <col min="14831" max="14831" width="8.85546875" style="474"/>
    <col min="14832" max="14832" width="10.42578125" style="474" customWidth="1"/>
    <col min="14833" max="14833" width="10.85546875" style="474" customWidth="1"/>
    <col min="14834" max="14834" width="11.42578125" style="474" customWidth="1"/>
    <col min="14835" max="14835" width="12" style="474" customWidth="1"/>
    <col min="14836" max="14836" width="11.85546875" style="474" customWidth="1"/>
    <col min="14837" max="14837" width="8.5703125" style="474" customWidth="1"/>
    <col min="14838" max="14838" width="11.42578125" style="474" customWidth="1"/>
    <col min="14839" max="14839" width="11" style="474" customWidth="1"/>
    <col min="14840" max="14840" width="11.5703125" style="474" customWidth="1"/>
    <col min="14841" max="14841" width="8.85546875" style="474"/>
    <col min="14842" max="14842" width="11.140625" style="474" customWidth="1"/>
    <col min="14843" max="15077" width="8.85546875" style="474"/>
    <col min="15078" max="15078" width="38.140625" style="474" customWidth="1"/>
    <col min="15079" max="15079" width="11.85546875" style="474" customWidth="1"/>
    <col min="15080" max="15080" width="45.5703125" style="474" customWidth="1"/>
    <col min="15081" max="15081" width="8.85546875" style="474"/>
    <col min="15082" max="15082" width="13.140625" style="474" customWidth="1"/>
    <col min="15083" max="15083" width="8.85546875" style="474"/>
    <col min="15084" max="15084" width="11.85546875" style="474" customWidth="1"/>
    <col min="15085" max="15085" width="10.5703125" style="474" customWidth="1"/>
    <col min="15086" max="15086" width="11.42578125" style="474" customWidth="1"/>
    <col min="15087" max="15087" width="8.85546875" style="474"/>
    <col min="15088" max="15088" width="10.42578125" style="474" customWidth="1"/>
    <col min="15089" max="15089" width="10.85546875" style="474" customWidth="1"/>
    <col min="15090" max="15090" width="11.42578125" style="474" customWidth="1"/>
    <col min="15091" max="15091" width="12" style="474" customWidth="1"/>
    <col min="15092" max="15092" width="11.85546875" style="474" customWidth="1"/>
    <col min="15093" max="15093" width="8.5703125" style="474" customWidth="1"/>
    <col min="15094" max="15094" width="11.42578125" style="474" customWidth="1"/>
    <col min="15095" max="15095" width="11" style="474" customWidth="1"/>
    <col min="15096" max="15096" width="11.5703125" style="474" customWidth="1"/>
    <col min="15097" max="15097" width="8.85546875" style="474"/>
    <col min="15098" max="15098" width="11.140625" style="474" customWidth="1"/>
    <col min="15099" max="15333" width="8.85546875" style="474"/>
    <col min="15334" max="15334" width="38.140625" style="474" customWidth="1"/>
    <col min="15335" max="15335" width="11.85546875" style="474" customWidth="1"/>
    <col min="15336" max="15336" width="45.5703125" style="474" customWidth="1"/>
    <col min="15337" max="15337" width="8.85546875" style="474"/>
    <col min="15338" max="15338" width="13.140625" style="474" customWidth="1"/>
    <col min="15339" max="15339" width="8.85546875" style="474"/>
    <col min="15340" max="15340" width="11.85546875" style="474" customWidth="1"/>
    <col min="15341" max="15341" width="10.5703125" style="474" customWidth="1"/>
    <col min="15342" max="15342" width="11.42578125" style="474" customWidth="1"/>
    <col min="15343" max="15343" width="8.85546875" style="474"/>
    <col min="15344" max="15344" width="10.42578125" style="474" customWidth="1"/>
    <col min="15345" max="15345" width="10.85546875" style="474" customWidth="1"/>
    <col min="15346" max="15346" width="11.42578125" style="474" customWidth="1"/>
    <col min="15347" max="15347" width="12" style="474" customWidth="1"/>
    <col min="15348" max="15348" width="11.85546875" style="474" customWidth="1"/>
    <col min="15349" max="15349" width="8.5703125" style="474" customWidth="1"/>
    <col min="15350" max="15350" width="11.42578125" style="474" customWidth="1"/>
    <col min="15351" max="15351" width="11" style="474" customWidth="1"/>
    <col min="15352" max="15352" width="11.5703125" style="474" customWidth="1"/>
    <col min="15353" max="15353" width="8.85546875" style="474"/>
    <col min="15354" max="15354" width="11.140625" style="474" customWidth="1"/>
    <col min="15355" max="15589" width="8.85546875" style="474"/>
    <col min="15590" max="15590" width="38.140625" style="474" customWidth="1"/>
    <col min="15591" max="15591" width="11.85546875" style="474" customWidth="1"/>
    <col min="15592" max="15592" width="45.5703125" style="474" customWidth="1"/>
    <col min="15593" max="15593" width="8.85546875" style="474"/>
    <col min="15594" max="15594" width="13.140625" style="474" customWidth="1"/>
    <col min="15595" max="15595" width="8.85546875" style="474"/>
    <col min="15596" max="15596" width="11.85546875" style="474" customWidth="1"/>
    <col min="15597" max="15597" width="10.5703125" style="474" customWidth="1"/>
    <col min="15598" max="15598" width="11.42578125" style="474" customWidth="1"/>
    <col min="15599" max="15599" width="8.85546875" style="474"/>
    <col min="15600" max="15600" width="10.42578125" style="474" customWidth="1"/>
    <col min="15601" max="15601" width="10.85546875" style="474" customWidth="1"/>
    <col min="15602" max="15602" width="11.42578125" style="474" customWidth="1"/>
    <col min="15603" max="15603" width="12" style="474" customWidth="1"/>
    <col min="15604" max="15604" width="11.85546875" style="474" customWidth="1"/>
    <col min="15605" max="15605" width="8.5703125" style="474" customWidth="1"/>
    <col min="15606" max="15606" width="11.42578125" style="474" customWidth="1"/>
    <col min="15607" max="15607" width="11" style="474" customWidth="1"/>
    <col min="15608" max="15608" width="11.5703125" style="474" customWidth="1"/>
    <col min="15609" max="15609" width="8.85546875" style="474"/>
    <col min="15610" max="15610" width="11.140625" style="474" customWidth="1"/>
    <col min="15611" max="15845" width="8.85546875" style="474"/>
    <col min="15846" max="15846" width="38.140625" style="474" customWidth="1"/>
    <col min="15847" max="15847" width="11.85546875" style="474" customWidth="1"/>
    <col min="15848" max="15848" width="45.5703125" style="474" customWidth="1"/>
    <col min="15849" max="15849" width="8.85546875" style="474"/>
    <col min="15850" max="15850" width="13.140625" style="474" customWidth="1"/>
    <col min="15851" max="15851" width="8.85546875" style="474"/>
    <col min="15852" max="15852" width="11.85546875" style="474" customWidth="1"/>
    <col min="15853" max="15853" width="10.5703125" style="474" customWidth="1"/>
    <col min="15854" max="15854" width="11.42578125" style="474" customWidth="1"/>
    <col min="15855" max="15855" width="8.85546875" style="474"/>
    <col min="15856" max="15856" width="10.42578125" style="474" customWidth="1"/>
    <col min="15857" max="15857" width="10.85546875" style="474" customWidth="1"/>
    <col min="15858" max="15858" width="11.42578125" style="474" customWidth="1"/>
    <col min="15859" max="15859" width="12" style="474" customWidth="1"/>
    <col min="15860" max="15860" width="11.85546875" style="474" customWidth="1"/>
    <col min="15861" max="15861" width="8.5703125" style="474" customWidth="1"/>
    <col min="15862" max="15862" width="11.42578125" style="474" customWidth="1"/>
    <col min="15863" max="15863" width="11" style="474" customWidth="1"/>
    <col min="15864" max="15864" width="11.5703125" style="474" customWidth="1"/>
    <col min="15865" max="15865" width="8.85546875" style="474"/>
    <col min="15866" max="15866" width="11.140625" style="474" customWidth="1"/>
    <col min="15867" max="16101" width="8.85546875" style="474"/>
    <col min="16102" max="16102" width="38.140625" style="474" customWidth="1"/>
    <col min="16103" max="16103" width="11.85546875" style="474" customWidth="1"/>
    <col min="16104" max="16104" width="45.5703125" style="474" customWidth="1"/>
    <col min="16105" max="16105" width="8.85546875" style="474"/>
    <col min="16106" max="16106" width="13.140625" style="474" customWidth="1"/>
    <col min="16107" max="16107" width="8.85546875" style="474"/>
    <col min="16108" max="16108" width="11.85546875" style="474" customWidth="1"/>
    <col min="16109" max="16109" width="10.5703125" style="474" customWidth="1"/>
    <col min="16110" max="16110" width="11.42578125" style="474" customWidth="1"/>
    <col min="16111" max="16111" width="8.85546875" style="474"/>
    <col min="16112" max="16112" width="10.42578125" style="474" customWidth="1"/>
    <col min="16113" max="16113" width="10.85546875" style="474" customWidth="1"/>
    <col min="16114" max="16114" width="11.42578125" style="474" customWidth="1"/>
    <col min="16115" max="16115" width="12" style="474" customWidth="1"/>
    <col min="16116" max="16116" width="11.85546875" style="474" customWidth="1"/>
    <col min="16117" max="16117" width="8.5703125" style="474" customWidth="1"/>
    <col min="16118" max="16118" width="11.42578125" style="474" customWidth="1"/>
    <col min="16119" max="16119" width="11" style="474" customWidth="1"/>
    <col min="16120" max="16120" width="11.5703125" style="474" customWidth="1"/>
    <col min="16121" max="16121" width="8.85546875" style="474"/>
    <col min="16122" max="16122" width="11.140625" style="474" customWidth="1"/>
    <col min="16123" max="16380" width="8.85546875" style="474"/>
    <col min="16381" max="16384" width="9" style="474" customWidth="1"/>
  </cols>
  <sheetData>
    <row r="1" spans="1:19" s="1" customFormat="1">
      <c r="A1" s="506" t="s">
        <v>1035</v>
      </c>
      <c r="B1" s="506"/>
      <c r="C1" s="422"/>
      <c r="D1" s="422"/>
      <c r="E1" s="423"/>
      <c r="F1" s="423"/>
      <c r="G1" s="424"/>
      <c r="H1" s="424"/>
      <c r="I1" s="424"/>
      <c r="J1" s="424"/>
      <c r="K1" s="425"/>
      <c r="L1" s="424"/>
      <c r="M1" s="424"/>
      <c r="N1" s="424"/>
      <c r="O1" s="424"/>
      <c r="P1" s="424"/>
      <c r="Q1" s="424"/>
    </row>
    <row r="2" spans="1:19" s="1" customFormat="1" ht="22.5">
      <c r="A2" s="507" t="s">
        <v>339</v>
      </c>
      <c r="B2" s="507"/>
      <c r="C2" s="2"/>
      <c r="D2" s="426" t="s">
        <v>901</v>
      </c>
      <c r="E2" s="2"/>
      <c r="F2" s="2"/>
      <c r="G2" s="424"/>
      <c r="H2" s="424"/>
      <c r="I2" s="424"/>
      <c r="J2" s="424"/>
      <c r="K2" s="425"/>
      <c r="L2" s="424"/>
      <c r="M2" s="424"/>
      <c r="N2" s="424"/>
      <c r="O2" s="424"/>
      <c r="P2" s="424"/>
      <c r="Q2" s="424"/>
    </row>
    <row r="3" spans="1:19" s="1" customFormat="1">
      <c r="A3" s="509" t="s">
        <v>1094</v>
      </c>
      <c r="B3" s="509"/>
      <c r="C3" s="509"/>
      <c r="D3" s="509"/>
      <c r="E3" s="509"/>
      <c r="F3" s="509"/>
      <c r="G3" s="509"/>
      <c r="H3" s="509"/>
      <c r="I3" s="509"/>
      <c r="J3" s="509"/>
      <c r="K3" s="509"/>
      <c r="L3" s="509"/>
      <c r="M3" s="509"/>
      <c r="N3" s="509"/>
      <c r="O3" s="509"/>
      <c r="P3" s="509"/>
      <c r="Q3" s="509"/>
    </row>
    <row r="4" spans="1:19" s="1" customFormat="1">
      <c r="A4" s="510" t="s">
        <v>1037</v>
      </c>
      <c r="B4" s="510"/>
      <c r="C4" s="510"/>
      <c r="D4" s="510"/>
      <c r="E4" s="510"/>
      <c r="F4" s="510"/>
      <c r="G4" s="510"/>
      <c r="H4" s="510"/>
      <c r="I4" s="510"/>
      <c r="J4" s="510"/>
      <c r="K4" s="510"/>
      <c r="L4" s="510"/>
      <c r="M4" s="510"/>
      <c r="N4" s="510"/>
      <c r="O4" s="510"/>
      <c r="P4" s="510"/>
      <c r="Q4" s="510"/>
    </row>
    <row r="5" spans="1:19" s="1" customFormat="1" ht="28.5" customHeight="1">
      <c r="A5" s="541" t="s">
        <v>0</v>
      </c>
      <c r="B5" s="541"/>
      <c r="C5" s="542"/>
      <c r="D5" s="541"/>
      <c r="E5" s="541"/>
      <c r="F5" s="541"/>
      <c r="G5" s="541"/>
      <c r="H5" s="541"/>
      <c r="I5" s="541"/>
      <c r="J5" s="541"/>
      <c r="K5" s="541"/>
      <c r="L5" s="541"/>
      <c r="M5" s="541"/>
      <c r="N5" s="541"/>
      <c r="O5" s="541"/>
      <c r="P5" s="541"/>
      <c r="Q5" s="541"/>
    </row>
    <row r="6" spans="1:19" s="428" customFormat="1" ht="14.25" customHeight="1">
      <c r="A6" s="539" t="s">
        <v>1</v>
      </c>
      <c r="B6" s="540" t="s">
        <v>2</v>
      </c>
      <c r="C6" s="540" t="s">
        <v>3</v>
      </c>
      <c r="D6" s="540" t="s">
        <v>4</v>
      </c>
      <c r="E6" s="540" t="s">
        <v>974</v>
      </c>
      <c r="F6" s="540" t="s">
        <v>6</v>
      </c>
      <c r="G6" s="540"/>
      <c r="H6" s="540"/>
      <c r="I6" s="540"/>
      <c r="J6" s="540"/>
      <c r="K6" s="540"/>
      <c r="L6" s="540" t="s">
        <v>7</v>
      </c>
      <c r="M6" s="540"/>
      <c r="N6" s="546" t="s">
        <v>1095</v>
      </c>
      <c r="O6" s="547"/>
      <c r="P6" s="548"/>
      <c r="Q6" s="540" t="s">
        <v>109</v>
      </c>
    </row>
    <row r="7" spans="1:19" s="429" customFormat="1" ht="34.5" customHeight="1">
      <c r="A7" s="539"/>
      <c r="B7" s="540"/>
      <c r="C7" s="540"/>
      <c r="D7" s="540"/>
      <c r="E7" s="540"/>
      <c r="F7" s="540"/>
      <c r="G7" s="540"/>
      <c r="H7" s="540"/>
      <c r="I7" s="540"/>
      <c r="J7" s="540"/>
      <c r="K7" s="540"/>
      <c r="L7" s="540"/>
      <c r="M7" s="540"/>
      <c r="N7" s="549"/>
      <c r="O7" s="550"/>
      <c r="P7" s="551"/>
      <c r="Q7" s="540"/>
    </row>
    <row r="8" spans="1:19" s="429" customFormat="1" ht="12">
      <c r="A8" s="539"/>
      <c r="B8" s="540"/>
      <c r="C8" s="540"/>
      <c r="D8" s="540"/>
      <c r="E8" s="540"/>
      <c r="F8" s="540" t="s">
        <v>10</v>
      </c>
      <c r="G8" s="540" t="s">
        <v>11</v>
      </c>
      <c r="H8" s="540" t="s">
        <v>12</v>
      </c>
      <c r="I8" s="540"/>
      <c r="J8" s="540"/>
      <c r="K8" s="540"/>
      <c r="L8" s="540" t="s">
        <v>13</v>
      </c>
      <c r="M8" s="540" t="s">
        <v>934</v>
      </c>
      <c r="N8" s="540" t="s">
        <v>13</v>
      </c>
      <c r="O8" s="540" t="s">
        <v>111</v>
      </c>
      <c r="P8" s="540"/>
      <c r="Q8" s="540"/>
    </row>
    <row r="9" spans="1:19" s="429" customFormat="1" ht="27" customHeight="1">
      <c r="A9" s="539"/>
      <c r="B9" s="540"/>
      <c r="C9" s="540"/>
      <c r="D9" s="540"/>
      <c r="E9" s="540"/>
      <c r="F9" s="540"/>
      <c r="G9" s="540"/>
      <c r="H9" s="540" t="s">
        <v>13</v>
      </c>
      <c r="I9" s="540" t="s">
        <v>14</v>
      </c>
      <c r="J9" s="540"/>
      <c r="K9" s="540"/>
      <c r="L9" s="540"/>
      <c r="M9" s="540"/>
      <c r="N9" s="540"/>
      <c r="O9" s="540" t="s">
        <v>15</v>
      </c>
      <c r="P9" s="540" t="s">
        <v>16</v>
      </c>
      <c r="Q9" s="540"/>
    </row>
    <row r="10" spans="1:19" s="429" customFormat="1" ht="48">
      <c r="A10" s="539"/>
      <c r="B10" s="540"/>
      <c r="C10" s="540"/>
      <c r="D10" s="540"/>
      <c r="E10" s="540"/>
      <c r="F10" s="540"/>
      <c r="G10" s="540"/>
      <c r="H10" s="540"/>
      <c r="I10" s="427" t="s">
        <v>17</v>
      </c>
      <c r="J10" s="427" t="s">
        <v>1096</v>
      </c>
      <c r="K10" s="427" t="s">
        <v>16</v>
      </c>
      <c r="L10" s="540"/>
      <c r="M10" s="540"/>
      <c r="N10" s="540"/>
      <c r="O10" s="540"/>
      <c r="P10" s="540"/>
      <c r="Q10" s="540"/>
    </row>
    <row r="11" spans="1:19" s="432" customFormat="1" ht="22.5" customHeight="1">
      <c r="A11" s="430">
        <v>1</v>
      </c>
      <c r="B11" s="431">
        <v>2</v>
      </c>
      <c r="C11" s="430">
        <v>3</v>
      </c>
      <c r="D11" s="431">
        <v>4</v>
      </c>
      <c r="E11" s="430">
        <v>5</v>
      </c>
      <c r="F11" s="431">
        <v>6</v>
      </c>
      <c r="G11" s="430">
        <v>7</v>
      </c>
      <c r="H11" s="431">
        <v>8</v>
      </c>
      <c r="I11" s="430">
        <v>9</v>
      </c>
      <c r="J11" s="431">
        <v>10</v>
      </c>
      <c r="K11" s="430">
        <v>11</v>
      </c>
      <c r="L11" s="431">
        <v>12</v>
      </c>
      <c r="M11" s="430">
        <v>13</v>
      </c>
      <c r="N11" s="430">
        <v>17</v>
      </c>
      <c r="O11" s="431">
        <v>18</v>
      </c>
      <c r="P11" s="430">
        <v>19</v>
      </c>
      <c r="Q11" s="430">
        <v>23</v>
      </c>
    </row>
    <row r="12" spans="1:19" s="435" customFormat="1" ht="14.25">
      <c r="A12" s="433"/>
      <c r="B12" s="421" t="s">
        <v>18</v>
      </c>
      <c r="C12" s="421"/>
      <c r="D12" s="421"/>
      <c r="E12" s="421"/>
      <c r="F12" s="421"/>
      <c r="G12" s="421"/>
      <c r="H12" s="434">
        <f>+H13+H15</f>
        <v>144050</v>
      </c>
      <c r="I12" s="434">
        <f t="shared" ref="I12:P12" si="0">+I13+I15</f>
        <v>137550</v>
      </c>
      <c r="J12" s="434">
        <f t="shared" si="0"/>
        <v>6500</v>
      </c>
      <c r="K12" s="434">
        <f t="shared" si="0"/>
        <v>0</v>
      </c>
      <c r="L12" s="434">
        <f t="shared" si="0"/>
        <v>0</v>
      </c>
      <c r="M12" s="434">
        <f t="shared" si="0"/>
        <v>0</v>
      </c>
      <c r="N12" s="434">
        <f t="shared" si="0"/>
        <v>6500</v>
      </c>
      <c r="O12" s="434">
        <f t="shared" si="0"/>
        <v>6500</v>
      </c>
      <c r="P12" s="434">
        <f t="shared" si="0"/>
        <v>0</v>
      </c>
      <c r="Q12" s="421"/>
      <c r="R12" s="435">
        <f>+N12+'[2]Phụ lục 3'!M12</f>
        <v>219570</v>
      </c>
    </row>
    <row r="13" spans="1:19" s="441" customFormat="1" ht="14.25">
      <c r="A13" s="436" t="s">
        <v>20</v>
      </c>
      <c r="B13" s="461" t="s">
        <v>1097</v>
      </c>
      <c r="C13" s="438"/>
      <c r="D13" s="438"/>
      <c r="E13" s="438"/>
      <c r="F13" s="439"/>
      <c r="G13" s="421"/>
      <c r="H13" s="455">
        <f>+H14</f>
        <v>138550</v>
      </c>
      <c r="I13" s="455">
        <f t="shared" ref="I13:P13" si="1">+I14</f>
        <v>132550</v>
      </c>
      <c r="J13" s="455">
        <f t="shared" si="1"/>
        <v>6000</v>
      </c>
      <c r="K13" s="455">
        <f t="shared" si="1"/>
        <v>0</v>
      </c>
      <c r="L13" s="455">
        <f t="shared" si="1"/>
        <v>0</v>
      </c>
      <c r="M13" s="455">
        <f t="shared" si="1"/>
        <v>0</v>
      </c>
      <c r="N13" s="455">
        <f t="shared" si="1"/>
        <v>6000</v>
      </c>
      <c r="O13" s="455">
        <f t="shared" si="1"/>
        <v>6000</v>
      </c>
      <c r="P13" s="455">
        <f t="shared" si="1"/>
        <v>0</v>
      </c>
      <c r="Q13" s="439"/>
      <c r="S13" s="435"/>
    </row>
    <row r="14" spans="1:19" s="372" customFormat="1" ht="29.25" customHeight="1">
      <c r="A14" s="451">
        <v>1</v>
      </c>
      <c r="B14" s="460" t="s">
        <v>1098</v>
      </c>
      <c r="C14" s="444" t="s">
        <v>1088</v>
      </c>
      <c r="D14" s="444"/>
      <c r="E14" s="444" t="s">
        <v>1099</v>
      </c>
      <c r="F14" s="445" t="s">
        <v>1100</v>
      </c>
      <c r="G14" s="457" t="s">
        <v>1101</v>
      </c>
      <c r="H14" s="447">
        <v>138550</v>
      </c>
      <c r="I14" s="447">
        <f>+H14-J14</f>
        <v>132550</v>
      </c>
      <c r="J14" s="447">
        <v>6000</v>
      </c>
      <c r="K14" s="447"/>
      <c r="L14" s="447"/>
      <c r="M14" s="447"/>
      <c r="N14" s="447">
        <f>+SUM(O14:P14)</f>
        <v>6000</v>
      </c>
      <c r="O14" s="447">
        <v>6000</v>
      </c>
      <c r="P14" s="447"/>
      <c r="Q14" s="445"/>
      <c r="S14" s="435"/>
    </row>
    <row r="15" spans="1:19" s="441" customFormat="1" ht="29.25" customHeight="1">
      <c r="A15" s="436" t="s">
        <v>23</v>
      </c>
      <c r="B15" s="478" t="s">
        <v>1102</v>
      </c>
      <c r="C15" s="438"/>
      <c r="D15" s="438"/>
      <c r="E15" s="438"/>
      <c r="F15" s="439"/>
      <c r="G15" s="421"/>
      <c r="H15" s="455">
        <f>SUM(H16:H17)</f>
        <v>5500</v>
      </c>
      <c r="I15" s="455">
        <f t="shared" ref="I15:P15" si="2">SUM(I16:I17)</f>
        <v>5000</v>
      </c>
      <c r="J15" s="455">
        <f t="shared" si="2"/>
        <v>500</v>
      </c>
      <c r="K15" s="455">
        <f t="shared" si="2"/>
        <v>0</v>
      </c>
      <c r="L15" s="455">
        <f t="shared" si="2"/>
        <v>0</v>
      </c>
      <c r="M15" s="455">
        <f t="shared" si="2"/>
        <v>0</v>
      </c>
      <c r="N15" s="455">
        <f t="shared" si="2"/>
        <v>500</v>
      </c>
      <c r="O15" s="455">
        <f t="shared" si="2"/>
        <v>500</v>
      </c>
      <c r="P15" s="455">
        <f t="shared" si="2"/>
        <v>0</v>
      </c>
      <c r="Q15" s="439"/>
      <c r="S15" s="435"/>
    </row>
    <row r="16" spans="1:19" s="372" customFormat="1" ht="45">
      <c r="A16" s="451">
        <v>1</v>
      </c>
      <c r="B16" s="460" t="s">
        <v>1103</v>
      </c>
      <c r="C16" s="444" t="s">
        <v>1104</v>
      </c>
      <c r="D16" s="444"/>
      <c r="E16" s="444"/>
      <c r="F16" s="445"/>
      <c r="G16" s="457" t="s">
        <v>1101</v>
      </c>
      <c r="H16" s="447">
        <v>3500</v>
      </c>
      <c r="I16" s="447">
        <v>3200</v>
      </c>
      <c r="J16" s="447">
        <f>+H16-I16</f>
        <v>300</v>
      </c>
      <c r="K16" s="447"/>
      <c r="L16" s="447"/>
      <c r="M16" s="447"/>
      <c r="N16" s="447">
        <f>+SUM(O16:P16)</f>
        <v>300</v>
      </c>
      <c r="O16" s="447">
        <v>300</v>
      </c>
      <c r="P16" s="447"/>
      <c r="Q16" s="445"/>
      <c r="S16" s="435"/>
    </row>
    <row r="17" spans="1:19" s="372" customFormat="1" ht="60">
      <c r="A17" s="451">
        <v>2</v>
      </c>
      <c r="B17" s="460" t="s">
        <v>1105</v>
      </c>
      <c r="C17" s="444" t="s">
        <v>1106</v>
      </c>
      <c r="D17" s="444"/>
      <c r="E17" s="444"/>
      <c r="F17" s="445"/>
      <c r="G17" s="457" t="s">
        <v>1101</v>
      </c>
      <c r="H17" s="447">
        <v>2000</v>
      </c>
      <c r="I17" s="447">
        <v>1800</v>
      </c>
      <c r="J17" s="447">
        <f>+H17-I17</f>
        <v>200</v>
      </c>
      <c r="K17" s="447"/>
      <c r="L17" s="447"/>
      <c r="M17" s="447"/>
      <c r="N17" s="447">
        <f>+SUM(O17:P17)</f>
        <v>200</v>
      </c>
      <c r="O17" s="447">
        <v>200</v>
      </c>
      <c r="P17" s="447"/>
      <c r="Q17" s="445"/>
      <c r="S17" s="435"/>
    </row>
    <row r="19" spans="1:19" s="469" customFormat="1" ht="18.75" customHeight="1">
      <c r="A19" s="466"/>
      <c r="B19" s="467"/>
      <c r="C19" s="466"/>
      <c r="D19" s="466"/>
      <c r="E19" s="467"/>
      <c r="F19" s="467"/>
      <c r="G19" s="468"/>
      <c r="H19" s="468"/>
      <c r="I19" s="468"/>
      <c r="J19" s="468"/>
      <c r="K19" s="468"/>
      <c r="L19" s="468"/>
      <c r="M19" s="468"/>
      <c r="N19" s="554" t="s">
        <v>1038</v>
      </c>
      <c r="O19" s="554"/>
      <c r="P19" s="554"/>
      <c r="Q19" s="554"/>
      <c r="R19" s="467"/>
    </row>
    <row r="20" spans="1:19" s="472" customFormat="1" ht="20.25" customHeight="1">
      <c r="A20" s="470"/>
      <c r="B20" s="470"/>
      <c r="C20" s="470"/>
      <c r="D20" s="470"/>
      <c r="E20" s="470"/>
      <c r="F20" s="470"/>
      <c r="G20" s="471"/>
      <c r="H20" s="471"/>
      <c r="I20" s="471"/>
      <c r="J20" s="471"/>
      <c r="K20" s="471"/>
      <c r="L20" s="471"/>
      <c r="M20" s="471"/>
      <c r="N20" s="471"/>
      <c r="O20" s="471"/>
      <c r="P20" s="471"/>
      <c r="Q20" s="471"/>
      <c r="R20" s="471"/>
    </row>
    <row r="21" spans="1:19" s="469" customFormat="1" ht="18.75">
      <c r="A21" s="466"/>
      <c r="B21" s="467"/>
      <c r="C21" s="466"/>
      <c r="D21" s="466"/>
      <c r="E21" s="467"/>
      <c r="F21" s="467"/>
      <c r="G21" s="467"/>
      <c r="H21" s="467"/>
      <c r="I21" s="467"/>
      <c r="J21" s="467"/>
      <c r="K21" s="467"/>
      <c r="L21" s="467"/>
      <c r="M21" s="467"/>
      <c r="N21" s="467"/>
      <c r="O21" s="467"/>
      <c r="P21" s="467"/>
      <c r="Q21" s="467"/>
      <c r="R21" s="467"/>
    </row>
    <row r="22" spans="1:19" s="469" customFormat="1" ht="18.75">
      <c r="A22" s="466"/>
      <c r="B22" s="467"/>
      <c r="C22" s="466"/>
      <c r="D22" s="466"/>
      <c r="E22" s="467"/>
      <c r="F22" s="467"/>
      <c r="G22" s="467"/>
      <c r="H22" s="467"/>
      <c r="I22" s="467"/>
      <c r="J22" s="467"/>
      <c r="K22" s="467"/>
      <c r="L22" s="467"/>
      <c r="M22" s="467"/>
      <c r="N22" s="467"/>
      <c r="O22" s="467"/>
      <c r="P22" s="467"/>
      <c r="Q22" s="467"/>
      <c r="R22" s="467"/>
    </row>
    <row r="23" spans="1:19" s="469" customFormat="1" ht="18.75">
      <c r="A23" s="466"/>
      <c r="B23" s="467"/>
      <c r="C23" s="466"/>
      <c r="D23" s="466"/>
      <c r="E23" s="467"/>
      <c r="F23" s="467"/>
      <c r="G23" s="467"/>
      <c r="H23" s="467"/>
      <c r="I23" s="467"/>
      <c r="J23" s="467"/>
      <c r="K23" s="467"/>
      <c r="L23" s="467"/>
      <c r="M23" s="467"/>
      <c r="N23" s="467"/>
      <c r="O23" s="467"/>
      <c r="P23" s="467"/>
      <c r="Q23" s="467"/>
      <c r="R23" s="467"/>
    </row>
    <row r="24" spans="1:19" s="469" customFormat="1" ht="18.75">
      <c r="A24" s="466"/>
      <c r="B24" s="467"/>
      <c r="C24" s="466"/>
      <c r="D24" s="466"/>
      <c r="E24" s="467"/>
      <c r="F24" s="467"/>
      <c r="G24" s="467"/>
      <c r="H24" s="467"/>
      <c r="I24" s="467"/>
      <c r="J24" s="467"/>
      <c r="K24" s="467"/>
      <c r="L24" s="467"/>
      <c r="M24" s="467"/>
      <c r="N24" s="467"/>
      <c r="O24" s="467"/>
      <c r="P24" s="467"/>
      <c r="Q24" s="467"/>
      <c r="R24" s="467"/>
    </row>
    <row r="25" spans="1:19" s="469" customFormat="1" ht="18.75">
      <c r="A25" s="466"/>
      <c r="B25" s="467"/>
      <c r="C25" s="466"/>
      <c r="D25" s="466"/>
      <c r="E25" s="467"/>
      <c r="F25" s="467"/>
      <c r="G25" s="467"/>
      <c r="H25" s="467"/>
      <c r="I25" s="467"/>
      <c r="J25" s="467"/>
      <c r="K25" s="467"/>
      <c r="L25" s="467"/>
      <c r="M25" s="467"/>
      <c r="N25" s="467"/>
      <c r="O25" s="467"/>
      <c r="P25" s="467"/>
      <c r="Q25" s="467"/>
      <c r="R25" s="467"/>
    </row>
    <row r="26" spans="1:19" s="469" customFormat="1" ht="18.75">
      <c r="A26" s="466"/>
      <c r="B26" s="467"/>
      <c r="C26" s="466"/>
      <c r="D26" s="466"/>
      <c r="E26" s="467"/>
      <c r="F26" s="467"/>
      <c r="G26" s="467"/>
      <c r="H26" s="467"/>
      <c r="I26" s="467"/>
      <c r="J26" s="467"/>
      <c r="K26" s="467"/>
      <c r="L26" s="467"/>
      <c r="M26" s="467"/>
      <c r="N26" s="467"/>
      <c r="O26" s="467"/>
      <c r="P26" s="467"/>
      <c r="Q26" s="467"/>
      <c r="R26" s="467"/>
    </row>
    <row r="27" spans="1:19" s="469" customFormat="1" ht="18.75">
      <c r="A27" s="466"/>
      <c r="B27" s="467"/>
      <c r="C27" s="466"/>
      <c r="D27" s="466"/>
      <c r="E27" s="467"/>
      <c r="F27" s="467"/>
      <c r="G27" s="467"/>
      <c r="H27" s="467"/>
      <c r="I27" s="467"/>
      <c r="J27" s="467"/>
      <c r="K27" s="467"/>
      <c r="L27" s="467"/>
      <c r="M27" s="467"/>
      <c r="N27" s="467"/>
      <c r="O27" s="467"/>
      <c r="P27" s="467"/>
      <c r="Q27" s="467"/>
      <c r="R27" s="467"/>
    </row>
    <row r="28" spans="1:19" s="471" customFormat="1" ht="18.75">
      <c r="A28" s="555"/>
      <c r="B28" s="555"/>
      <c r="C28" s="555"/>
      <c r="D28" s="555"/>
      <c r="E28" s="555"/>
      <c r="F28" s="555"/>
      <c r="G28" s="554"/>
      <c r="H28" s="554"/>
      <c r="I28" s="554"/>
      <c r="J28" s="554"/>
      <c r="K28" s="554"/>
      <c r="L28" s="554"/>
      <c r="M28" s="554"/>
      <c r="N28" s="554"/>
      <c r="O28" s="554"/>
      <c r="P28" s="554"/>
      <c r="Q28" s="554"/>
    </row>
    <row r="29" spans="1:19" s="469" customFormat="1" ht="18.75">
      <c r="A29" s="466"/>
      <c r="B29" s="467"/>
      <c r="C29" s="466"/>
      <c r="D29" s="466"/>
      <c r="E29" s="467"/>
      <c r="F29" s="467"/>
      <c r="G29" s="467"/>
      <c r="H29" s="467"/>
      <c r="I29" s="467"/>
      <c r="J29" s="467"/>
      <c r="K29" s="467"/>
      <c r="L29" s="467"/>
      <c r="M29" s="467"/>
      <c r="N29" s="467"/>
      <c r="O29" s="467"/>
      <c r="P29" s="467"/>
      <c r="Q29" s="467"/>
      <c r="R29" s="467"/>
    </row>
    <row r="30" spans="1:19" s="1" customFormat="1" ht="18.75">
      <c r="A30" s="473"/>
      <c r="B30" s="20"/>
      <c r="C30" s="21"/>
      <c r="D30" s="21"/>
      <c r="E30" s="21"/>
      <c r="F30" s="21"/>
      <c r="G30" s="21"/>
      <c r="H30" s="67"/>
      <c r="I30" s="67"/>
      <c r="J30" s="67"/>
      <c r="K30" s="67"/>
      <c r="L30" s="67"/>
      <c r="M30" s="67"/>
      <c r="N30" s="67"/>
      <c r="O30" s="67"/>
      <c r="P30" s="67"/>
      <c r="Q30" s="67"/>
      <c r="R30" s="20"/>
    </row>
  </sheetData>
  <autoFilter ref="A11:A17"/>
  <mergeCells count="28">
    <mergeCell ref="A1:B1"/>
    <mergeCell ref="A2:B2"/>
    <mergeCell ref="A3:Q3"/>
    <mergeCell ref="A4:Q4"/>
    <mergeCell ref="A5:Q5"/>
    <mergeCell ref="Q6:Q10"/>
    <mergeCell ref="F8:F10"/>
    <mergeCell ref="G8:G10"/>
    <mergeCell ref="H8:K8"/>
    <mergeCell ref="L8:L10"/>
    <mergeCell ref="M8:M10"/>
    <mergeCell ref="N8:N10"/>
    <mergeCell ref="A28:F28"/>
    <mergeCell ref="G28:Q28"/>
    <mergeCell ref="O8:P8"/>
    <mergeCell ref="H9:H10"/>
    <mergeCell ref="I9:K9"/>
    <mergeCell ref="O9:O10"/>
    <mergeCell ref="P9:P10"/>
    <mergeCell ref="N19:Q19"/>
    <mergeCell ref="A6:A10"/>
    <mergeCell ref="B6:B10"/>
    <mergeCell ref="C6:C10"/>
    <mergeCell ref="D6:D10"/>
    <mergeCell ref="E6:E10"/>
    <mergeCell ref="F6:K7"/>
    <mergeCell ref="L6:M7"/>
    <mergeCell ref="N6:P7"/>
  </mergeCells>
  <conditionalFormatting sqref="B19:B1048576 B1:B15">
    <cfRule type="duplicateValues" dxfId="4" priority="3"/>
  </conditionalFormatting>
  <conditionalFormatting sqref="B19:B1048576">
    <cfRule type="duplicateValues" dxfId="3" priority="4"/>
  </conditionalFormatting>
  <conditionalFormatting sqref="B16">
    <cfRule type="duplicateValues" dxfId="2" priority="1"/>
  </conditionalFormatting>
  <conditionalFormatting sqref="B16">
    <cfRule type="duplicateValues" dxfId="1" priority="2"/>
  </conditionalFormatting>
  <conditionalFormatting sqref="B17">
    <cfRule type="duplicateValues" dxfId="0" priority="5"/>
  </conditionalFormatting>
  <pageMargins left="0.6692913385826772" right="0.23622047244094491" top="0.51181102362204722" bottom="0.51181102362204722" header="0.35433070866141736" footer="3.937007874015748E-2"/>
  <pageSetup paperSize="9" scale="72" orientation="landscape" r:id="rId1"/>
  <headerFooter>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PL1 (3)</vt:lpstr>
      <vt:lpstr>PL1</vt:lpstr>
      <vt:lpstr>PL2</vt:lpstr>
      <vt:lpstr>TH</vt:lpstr>
      <vt:lpstr>Phụ lục 1</vt:lpstr>
      <vt:lpstr>Phụ lục 2</vt:lpstr>
      <vt:lpstr>Phụ lục 3</vt:lpstr>
      <vt:lpstr>Phụ lục 4</vt:lpstr>
      <vt:lpstr>'PL1'!Print_Area</vt:lpstr>
      <vt:lpstr>'PL1 (3)'!Print_Area</vt:lpstr>
      <vt:lpstr>'PL2'!Print_Area</vt:lpstr>
      <vt:lpstr>'Phụ lục 1'!Print_Area</vt:lpstr>
      <vt:lpstr>'Phụ lục 2'!Print_Area</vt:lpstr>
      <vt:lpstr>'Phụ lục 3'!Print_Area</vt:lpstr>
      <vt:lpstr>'Phụ lục 4'!Print_Area</vt:lpstr>
      <vt:lpstr>'PL1'!Print_Titles</vt:lpstr>
      <vt:lpstr>'PL1 (3)'!Print_Titles</vt:lpstr>
      <vt:lpstr>'PL2'!Print_Titles</vt:lpstr>
      <vt:lpstr>'Phụ lục 1'!Print_Titles</vt:lpstr>
      <vt:lpstr>'Phụ lục 2'!Print_Titles</vt:lpstr>
      <vt:lpstr>'Phụ lục 3'!Print_Titles</vt:lpstr>
      <vt:lpstr>'Phụ lục 4'!Print_Titles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2022-12-20T09:22:50Z</dcterms:modified>
</cp:coreProperties>
</file>