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firstSheet="1" activeTab="1"/>
  </bookViews>
  <sheets>
    <sheet name="foxz" sheetId="12" state="veryHidden" r:id=""/>
    <sheet name="thu" sheetId="1" r:id="rId1"/>
    <sheet name="Thu chi tiet" sheetId="6" r:id="rId2"/>
    <sheet name="chi" sheetId="2" r:id="rId3"/>
    <sheet name="thu chi tiet xa" sheetId="3" r:id="rId4"/>
    <sheet name="tong thu xa thi" sheetId="4" r:id="rId5"/>
    <sheet name="chi ns xa thi" sheetId="5" r:id="rId6"/>
    <sheet name="Giao duc" sheetId="7" r:id="rId7"/>
    <sheet name="chi tiet cac truong" sheetId="8" r:id="rId8"/>
    <sheet name="Chưa phan bo Gduc" sheetId="9" r:id="rId9"/>
    <sheet name="Sheet2" sheetId="11" r:id="rId10"/>
  </sheets>
  <externalReferences>
    <externalReference r:id="rId11"/>
    <externalReference r:id="rId12"/>
  </externalReferences>
  <definedNames>
    <definedName name="_xlnm.Print_Area" localSheetId="3">chi!$A$1:$E$260</definedName>
    <definedName name="_xlnm.Print_Area" localSheetId="9">'Chưa phan bo Gduc'!$A$1:$C$20</definedName>
    <definedName name="_xlnm.Print_Area" localSheetId="1">thu!$A$1:$E$41</definedName>
    <definedName name="_xlnm.Print_Area" localSheetId="2">'Thu chi tiet'!$A$1:$K$104</definedName>
    <definedName name="_xlnm.Print_Titles" localSheetId="3">chi!$8:$10</definedName>
    <definedName name="_xlnm.Print_Titles" localSheetId="8">'chi tiet cac truong'!$6:$7</definedName>
    <definedName name="_xlnm.Print_Titles" localSheetId="1">thu!$8:$11</definedName>
    <definedName name="_xlnm.Print_Titles" localSheetId="2">'Thu chi tiet'!$8:$9</definedName>
  </definedNames>
  <calcPr calcId="144525"/>
</workbook>
</file>

<file path=xl/calcChain.xml><?xml version="1.0" encoding="utf-8"?>
<calcChain xmlns="http://schemas.openxmlformats.org/spreadsheetml/2006/main">
  <c r="A5" i="2" l="1"/>
  <c r="C247" i="2" l="1"/>
  <c r="C246" i="2"/>
  <c r="C245" i="2"/>
  <c r="C244" i="2"/>
  <c r="C243" i="2"/>
  <c r="C242" i="2"/>
  <c r="C241" i="2"/>
  <c r="C240" i="2"/>
  <c r="D239" i="2"/>
  <c r="C239" i="2" s="1"/>
  <c r="D238" i="2"/>
  <c r="C238" i="2" s="1"/>
  <c r="D237" i="2"/>
  <c r="C237" i="2" s="1"/>
  <c r="C236" i="2"/>
  <c r="C235" i="2"/>
  <c r="C234" i="2"/>
  <c r="C233" i="2"/>
  <c r="C232" i="2"/>
  <c r="C231" i="2"/>
  <c r="D230" i="2"/>
  <c r="C230" i="2" s="1"/>
  <c r="D229" i="2"/>
  <c r="C229" i="2" s="1"/>
  <c r="D228" i="2"/>
  <c r="C228" i="2" s="1"/>
  <c r="D227" i="2"/>
  <c r="C227" i="2" s="1"/>
  <c r="D226" i="2"/>
  <c r="C226" i="2" s="1"/>
  <c r="D225" i="2"/>
  <c r="C225" i="2" s="1"/>
  <c r="D224" i="2"/>
  <c r="C224" i="2" s="1"/>
  <c r="D223" i="2"/>
  <c r="C223" i="2" s="1"/>
  <c r="D222" i="2"/>
  <c r="C222" i="2" s="1"/>
  <c r="C221" i="2"/>
  <c r="C220" i="2"/>
  <c r="D219" i="2"/>
  <c r="C219" i="2" s="1"/>
  <c r="D218" i="2"/>
  <c r="C218" i="2" s="1"/>
  <c r="D217" i="2"/>
  <c r="C217" i="2" s="1"/>
  <c r="D216" i="2"/>
  <c r="D215" i="2" s="1"/>
  <c r="C215" i="2" s="1"/>
  <c r="D214" i="2"/>
  <c r="C214" i="2" s="1"/>
  <c r="D213" i="2"/>
  <c r="C213" i="2" s="1"/>
  <c r="D212" i="2"/>
  <c r="D211" i="2" s="1"/>
  <c r="C211" i="2" s="1"/>
  <c r="D210" i="2"/>
  <c r="C210" i="2" s="1"/>
  <c r="D209" i="2"/>
  <c r="C209" i="2" s="1"/>
  <c r="C208" i="2"/>
  <c r="D206" i="2"/>
  <c r="C206" i="2"/>
  <c r="C205" i="2"/>
  <c r="D204" i="2"/>
  <c r="C204" i="2" s="1"/>
  <c r="C203" i="2"/>
  <c r="D201" i="2"/>
  <c r="C201" i="2"/>
  <c r="D200" i="2"/>
  <c r="C200" i="2"/>
  <c r="D199" i="2"/>
  <c r="C199" i="2"/>
  <c r="D198" i="2"/>
  <c r="C198" i="2"/>
  <c r="C197" i="2"/>
  <c r="D196" i="2"/>
  <c r="C196" i="2" s="1"/>
  <c r="D195" i="2"/>
  <c r="C195" i="2" s="1"/>
  <c r="C194" i="2"/>
  <c r="C193" i="2"/>
  <c r="C192" i="2"/>
  <c r="C191" i="2"/>
  <c r="D190" i="2"/>
  <c r="C190" i="2" s="1"/>
  <c r="D189" i="2"/>
  <c r="C189" i="2" s="1"/>
  <c r="C186" i="2"/>
  <c r="C185" i="2"/>
  <c r="D184" i="2"/>
  <c r="C184" i="2" s="1"/>
  <c r="C183" i="2"/>
  <c r="C182" i="2"/>
  <c r="C181" i="2"/>
  <c r="D180" i="2"/>
  <c r="C180" i="2"/>
  <c r="D179" i="2"/>
  <c r="C179" i="2"/>
  <c r="C178" i="2"/>
  <c r="C177" i="2"/>
  <c r="D176" i="2"/>
  <c r="C176" i="2"/>
  <c r="C175" i="2"/>
  <c r="C174" i="2"/>
  <c r="C173" i="2"/>
  <c r="D172" i="2"/>
  <c r="C172" i="2" s="1"/>
  <c r="C171" i="2"/>
  <c r="C170" i="2"/>
  <c r="C169" i="2"/>
  <c r="C168" i="2"/>
  <c r="C167" i="2"/>
  <c r="C166" i="2"/>
  <c r="C165" i="2"/>
  <c r="C164" i="2"/>
  <c r="D163" i="2"/>
  <c r="C163" i="2" s="1"/>
  <c r="D162" i="2"/>
  <c r="C162" i="2" s="1"/>
  <c r="D161" i="2"/>
  <c r="C161" i="2" s="1"/>
  <c r="D160" i="2"/>
  <c r="C160" i="2" s="1"/>
  <c r="C158" i="2"/>
  <c r="C157" i="2"/>
  <c r="C156" i="2"/>
  <c r="C155" i="2"/>
  <c r="C154" i="2"/>
  <c r="C153" i="2"/>
  <c r="C152" i="2"/>
  <c r="C151" i="2"/>
  <c r="D150" i="2"/>
  <c r="C150" i="2" s="1"/>
  <c r="C149" i="2"/>
  <c r="C148" i="2"/>
  <c r="D147" i="2"/>
  <c r="C147" i="2" s="1"/>
  <c r="C146" i="2"/>
  <c r="C145" i="2"/>
  <c r="C144" i="2"/>
  <c r="D143" i="2"/>
  <c r="C143" i="2"/>
  <c r="D142" i="2"/>
  <c r="C142" i="2"/>
  <c r="D141" i="2"/>
  <c r="D140" i="2" s="1"/>
  <c r="C140" i="2" s="1"/>
  <c r="C141" i="2"/>
  <c r="C139" i="2"/>
  <c r="D138" i="2"/>
  <c r="C138" i="2" s="1"/>
  <c r="D137" i="2"/>
  <c r="C137" i="2" s="1"/>
  <c r="C136" i="2"/>
  <c r="C132" i="2"/>
  <c r="C131" i="2"/>
  <c r="D130" i="2"/>
  <c r="D129" i="2" s="1"/>
  <c r="C129" i="2" s="1"/>
  <c r="C128" i="2"/>
  <c r="C127" i="2"/>
  <c r="D126" i="2"/>
  <c r="C126" i="2"/>
  <c r="D125" i="2"/>
  <c r="C125" i="2"/>
  <c r="D124" i="2"/>
  <c r="C124" i="2"/>
  <c r="C123" i="2"/>
  <c r="C122" i="2"/>
  <c r="C121" i="2"/>
  <c r="D120" i="2"/>
  <c r="D118" i="2" s="1"/>
  <c r="C118" i="2" s="1"/>
  <c r="C119" i="2"/>
  <c r="C117" i="2"/>
  <c r="D116" i="2"/>
  <c r="C116" i="2" s="1"/>
  <c r="C115" i="2"/>
  <c r="C114" i="2"/>
  <c r="C113" i="2"/>
  <c r="C110" i="2"/>
  <c r="C109" i="2"/>
  <c r="C108" i="2"/>
  <c r="C107" i="2"/>
  <c r="C106" i="2"/>
  <c r="C105" i="2"/>
  <c r="D104" i="2"/>
  <c r="C104" i="2"/>
  <c r="D103" i="2"/>
  <c r="C103" i="2" s="1"/>
  <c r="D100" i="2"/>
  <c r="C100" i="2"/>
  <c r="D99" i="2"/>
  <c r="C99" i="2" s="1"/>
  <c r="C97" i="2"/>
  <c r="C96" i="2"/>
  <c r="C95" i="2"/>
  <c r="D94" i="2"/>
  <c r="C94" i="2" s="1"/>
  <c r="D92" i="2"/>
  <c r="C92" i="2" s="1"/>
  <c r="C91" i="2"/>
  <c r="D90" i="2"/>
  <c r="C90" i="2"/>
  <c r="C89" i="2"/>
  <c r="D86" i="2"/>
  <c r="C86" i="2" s="1"/>
  <c r="D85" i="2"/>
  <c r="C85" i="2" s="1"/>
  <c r="C82" i="2"/>
  <c r="D81" i="2"/>
  <c r="C81" i="2"/>
  <c r="C80" i="2"/>
  <c r="D79" i="2"/>
  <c r="C79" i="2" s="1"/>
  <c r="C78" i="2"/>
  <c r="D77" i="2"/>
  <c r="C77" i="2"/>
  <c r="C76" i="2"/>
  <c r="D75" i="2"/>
  <c r="C75" i="2" s="1"/>
  <c r="D74" i="2"/>
  <c r="C74" i="2" s="1"/>
  <c r="C72" i="2"/>
  <c r="D71" i="2"/>
  <c r="D70" i="2" s="1"/>
  <c r="C70" i="2" s="1"/>
  <c r="C71" i="2"/>
  <c r="C69" i="2"/>
  <c r="D68" i="2"/>
  <c r="C68" i="2" s="1"/>
  <c r="D67" i="2"/>
  <c r="C67" i="2" s="1"/>
  <c r="D66" i="2"/>
  <c r="C66" i="2" s="1"/>
  <c r="E64" i="2"/>
  <c r="E11" i="2" s="1"/>
  <c r="D52" i="2"/>
  <c r="D44" i="2"/>
  <c r="D29" i="2" s="1"/>
  <c r="D30" i="2"/>
  <c r="D20" i="2"/>
  <c r="D15" i="2"/>
  <c r="D13" i="2"/>
  <c r="D98" i="2" l="1"/>
  <c r="C98" i="2" s="1"/>
  <c r="D102" i="2"/>
  <c r="C130" i="2"/>
  <c r="D12" i="2"/>
  <c r="D73" i="2"/>
  <c r="C73" i="2" s="1"/>
  <c r="C120" i="2"/>
  <c r="D135" i="2"/>
  <c r="D202" i="2"/>
  <c r="C202" i="2" s="1"/>
  <c r="D207" i="2"/>
  <c r="C207" i="2" s="1"/>
  <c r="C212" i="2"/>
  <c r="C216" i="2"/>
  <c r="D88" i="2"/>
  <c r="D159" i="2"/>
  <c r="C159" i="2" s="1"/>
  <c r="D188" i="2"/>
  <c r="D65" i="2"/>
  <c r="D93" i="2"/>
  <c r="C93" i="2" s="1"/>
  <c r="D112" i="2"/>
  <c r="C18" i="9"/>
  <c r="C13" i="9"/>
  <c r="C11" i="9"/>
  <c r="C10" i="9"/>
  <c r="C9" i="9"/>
  <c r="H53" i="8"/>
  <c r="O53" i="8" s="1"/>
  <c r="G53" i="8"/>
  <c r="H52" i="8"/>
  <c r="O52" i="8" s="1"/>
  <c r="P52" i="8" s="1"/>
  <c r="G52" i="8"/>
  <c r="H51" i="8"/>
  <c r="O51" i="8" s="1"/>
  <c r="G51" i="8"/>
  <c r="H50" i="8"/>
  <c r="O50" i="8" s="1"/>
  <c r="P50" i="8" s="1"/>
  <c r="G50" i="8"/>
  <c r="H49" i="8"/>
  <c r="O49" i="8" s="1"/>
  <c r="G49" i="8"/>
  <c r="H48" i="8"/>
  <c r="O48" i="8" s="1"/>
  <c r="P48" i="8" s="1"/>
  <c r="G48" i="8"/>
  <c r="H47" i="8"/>
  <c r="O47" i="8" s="1"/>
  <c r="G47" i="8"/>
  <c r="H46" i="8"/>
  <c r="O46" i="8" s="1"/>
  <c r="G46" i="8"/>
  <c r="H45" i="8"/>
  <c r="O45" i="8" s="1"/>
  <c r="G45" i="8"/>
  <c r="H44" i="8"/>
  <c r="O44" i="8" s="1"/>
  <c r="G44" i="8"/>
  <c r="H43" i="8"/>
  <c r="O43" i="8" s="1"/>
  <c r="G43" i="8"/>
  <c r="H42" i="8"/>
  <c r="O42" i="8" s="1"/>
  <c r="G42" i="8"/>
  <c r="H41" i="8"/>
  <c r="O41" i="8" s="1"/>
  <c r="G41" i="8"/>
  <c r="H40" i="8"/>
  <c r="O40" i="8" s="1"/>
  <c r="G40" i="8"/>
  <c r="H39" i="8"/>
  <c r="O39" i="8" s="1"/>
  <c r="G39" i="8"/>
  <c r="H38" i="8"/>
  <c r="O38" i="8" s="1"/>
  <c r="G38" i="8"/>
  <c r="H37" i="8"/>
  <c r="O37" i="8" s="1"/>
  <c r="G37" i="8"/>
  <c r="H36" i="8"/>
  <c r="O36" i="8" s="1"/>
  <c r="G36" i="8"/>
  <c r="H35" i="8"/>
  <c r="O35" i="8" s="1"/>
  <c r="G35" i="8"/>
  <c r="H34" i="8"/>
  <c r="O34" i="8" s="1"/>
  <c r="G34" i="8"/>
  <c r="H33" i="8"/>
  <c r="O33" i="8" s="1"/>
  <c r="G33" i="8"/>
  <c r="H32" i="8"/>
  <c r="O32" i="8" s="1"/>
  <c r="G32" i="8"/>
  <c r="H31" i="8"/>
  <c r="O31" i="8" s="1"/>
  <c r="G31" i="8"/>
  <c r="H30" i="8"/>
  <c r="O30" i="8" s="1"/>
  <c r="G30" i="8"/>
  <c r="H29" i="8"/>
  <c r="O29" i="8" s="1"/>
  <c r="G29" i="8"/>
  <c r="H28" i="8"/>
  <c r="O28" i="8" s="1"/>
  <c r="G28" i="8"/>
  <c r="H27" i="8"/>
  <c r="O27" i="8" s="1"/>
  <c r="G27" i="8"/>
  <c r="H26" i="8"/>
  <c r="O26" i="8" s="1"/>
  <c r="G26" i="8"/>
  <c r="N54" i="8"/>
  <c r="M54" i="8"/>
  <c r="H25" i="8"/>
  <c r="O25" i="8" s="1"/>
  <c r="G25" i="8"/>
  <c r="H24" i="8"/>
  <c r="O24" i="8" s="1"/>
  <c r="P24" i="8" s="1"/>
  <c r="G24" i="8"/>
  <c r="H23" i="8"/>
  <c r="O23" i="8" s="1"/>
  <c r="G23" i="8"/>
  <c r="H22" i="8"/>
  <c r="O22" i="8" s="1"/>
  <c r="G22" i="8"/>
  <c r="H21" i="8"/>
  <c r="O21" i="8" s="1"/>
  <c r="G21" i="8"/>
  <c r="H20" i="8"/>
  <c r="O20" i="8" s="1"/>
  <c r="G20" i="8"/>
  <c r="H19" i="8"/>
  <c r="O19" i="8" s="1"/>
  <c r="G19" i="8"/>
  <c r="H18" i="8"/>
  <c r="O18" i="8" s="1"/>
  <c r="P18" i="8" s="1"/>
  <c r="G18" i="8"/>
  <c r="L54" i="8"/>
  <c r="H17" i="8"/>
  <c r="O17" i="8" s="1"/>
  <c r="G17" i="8"/>
  <c r="H16" i="8"/>
  <c r="O16" i="8" s="1"/>
  <c r="G16" i="8"/>
  <c r="H15" i="8"/>
  <c r="O15" i="8" s="1"/>
  <c r="G15" i="8"/>
  <c r="H14" i="8"/>
  <c r="O14" i="8" s="1"/>
  <c r="G14" i="8"/>
  <c r="H13" i="8"/>
  <c r="O13" i="8" s="1"/>
  <c r="G13" i="8"/>
  <c r="H12" i="8"/>
  <c r="O12" i="8" s="1"/>
  <c r="G12" i="8"/>
  <c r="H11" i="8"/>
  <c r="O11" i="8" s="1"/>
  <c r="G11" i="8"/>
  <c r="H10" i="8"/>
  <c r="O10" i="8" s="1"/>
  <c r="G10" i="8"/>
  <c r="H9" i="8"/>
  <c r="O9" i="8" s="1"/>
  <c r="G9" i="8"/>
  <c r="K54" i="8"/>
  <c r="J54" i="8"/>
  <c r="I54" i="8"/>
  <c r="H8" i="8"/>
  <c r="F54" i="8"/>
  <c r="G8" i="8"/>
  <c r="F16" i="7"/>
  <c r="N16" i="7" s="1"/>
  <c r="F15" i="7"/>
  <c r="N15" i="7" s="1"/>
  <c r="M14" i="7"/>
  <c r="M13" i="7" s="1"/>
  <c r="L14" i="7"/>
  <c r="L13" i="7" s="1"/>
  <c r="K14" i="7"/>
  <c r="K13" i="7" s="1"/>
  <c r="J14" i="7"/>
  <c r="J13" i="7" s="1"/>
  <c r="I14" i="7"/>
  <c r="I13" i="7" s="1"/>
  <c r="G14" i="7"/>
  <c r="E14" i="7"/>
  <c r="E13" i="7" s="1"/>
  <c r="D14" i="7"/>
  <c r="D13" i="7" s="1"/>
  <c r="C14" i="7"/>
  <c r="C13" i="7" s="1"/>
  <c r="O13" i="7"/>
  <c r="G13" i="7"/>
  <c r="M12" i="7"/>
  <c r="L12" i="7"/>
  <c r="K12" i="7"/>
  <c r="I12" i="7"/>
  <c r="G12" i="7"/>
  <c r="E12" i="7"/>
  <c r="D12" i="7"/>
  <c r="C12" i="7"/>
  <c r="M11" i="7"/>
  <c r="L11" i="7"/>
  <c r="I11" i="7"/>
  <c r="H11" i="7"/>
  <c r="H17" i="7" s="1"/>
  <c r="G11" i="7"/>
  <c r="E11" i="7"/>
  <c r="D11" i="7"/>
  <c r="C11" i="7"/>
  <c r="M10" i="7"/>
  <c r="L10" i="7"/>
  <c r="K10" i="7"/>
  <c r="J10" i="7"/>
  <c r="I10" i="7"/>
  <c r="E10" i="7"/>
  <c r="D10" i="7"/>
  <c r="C10" i="7"/>
  <c r="D101" i="2" l="1"/>
  <c r="C101" i="2" s="1"/>
  <c r="C102" i="2"/>
  <c r="D187" i="2"/>
  <c r="C187" i="2" s="1"/>
  <c r="C188" i="2"/>
  <c r="C135" i="2"/>
  <c r="D134" i="2"/>
  <c r="C112" i="2"/>
  <c r="D111" i="2"/>
  <c r="C111" i="2" s="1"/>
  <c r="D87" i="2"/>
  <c r="C88" i="2"/>
  <c r="C65" i="2"/>
  <c r="C12" i="2"/>
  <c r="C17" i="7"/>
  <c r="P9" i="8"/>
  <c r="P15" i="8"/>
  <c r="P22" i="8"/>
  <c r="P45" i="8"/>
  <c r="J17" i="7"/>
  <c r="P11" i="8"/>
  <c r="C19" i="9"/>
  <c r="H54" i="8"/>
  <c r="E17" i="7"/>
  <c r="L17" i="7"/>
  <c r="F14" i="7"/>
  <c r="F13" i="7" s="1"/>
  <c r="F10" i="7"/>
  <c r="K17" i="7"/>
  <c r="F11" i="7"/>
  <c r="N11" i="7" s="1"/>
  <c r="F12" i="7"/>
  <c r="N12" i="7" s="1"/>
  <c r="N13" i="7"/>
  <c r="I17" i="7"/>
  <c r="M17" i="7"/>
  <c r="G17" i="7"/>
  <c r="G54" i="8"/>
  <c r="P14" i="8"/>
  <c r="P21" i="8"/>
  <c r="P27" i="8"/>
  <c r="P31" i="8"/>
  <c r="P35" i="8"/>
  <c r="P39" i="8"/>
  <c r="P44" i="8"/>
  <c r="P47" i="8"/>
  <c r="P12" i="8"/>
  <c r="P16" i="8"/>
  <c r="P19" i="8"/>
  <c r="P26" i="8"/>
  <c r="P30" i="8"/>
  <c r="P34" i="8"/>
  <c r="P38" i="8"/>
  <c r="P42" i="8"/>
  <c r="P53" i="8"/>
  <c r="P13" i="8"/>
  <c r="P23" i="8"/>
  <c r="P25" i="8"/>
  <c r="P29" i="8"/>
  <c r="P33" i="8"/>
  <c r="P37" i="8"/>
  <c r="P41" i="8"/>
  <c r="P46" i="8"/>
  <c r="P49" i="8"/>
  <c r="P51" i="8"/>
  <c r="P10" i="8"/>
  <c r="P20" i="8"/>
  <c r="P28" i="8"/>
  <c r="P32" i="8"/>
  <c r="P36" i="8"/>
  <c r="P40" i="8"/>
  <c r="P43" i="8"/>
  <c r="P17" i="8"/>
  <c r="E54" i="8"/>
  <c r="O8" i="8"/>
  <c r="D17" i="7"/>
  <c r="A5" i="6"/>
  <c r="G103" i="6"/>
  <c r="K103" i="6" s="1"/>
  <c r="K102" i="6"/>
  <c r="J102" i="6"/>
  <c r="H102" i="6"/>
  <c r="I102" i="6" s="1"/>
  <c r="K101" i="6"/>
  <c r="J101" i="6"/>
  <c r="I101" i="6"/>
  <c r="H101" i="6"/>
  <c r="K99" i="6"/>
  <c r="J99" i="6"/>
  <c r="H99" i="6"/>
  <c r="K97" i="6"/>
  <c r="J97" i="6"/>
  <c r="H97" i="6"/>
  <c r="I97" i="6" s="1"/>
  <c r="G96" i="6"/>
  <c r="G98" i="6" s="1"/>
  <c r="J98" i="6" s="1"/>
  <c r="J96" i="6" s="1"/>
  <c r="K95" i="6"/>
  <c r="J95" i="6"/>
  <c r="I95" i="6"/>
  <c r="H95" i="6"/>
  <c r="K94" i="6"/>
  <c r="J94" i="6"/>
  <c r="H94" i="6"/>
  <c r="I94" i="6" s="1"/>
  <c r="K93" i="6"/>
  <c r="J93" i="6"/>
  <c r="H93" i="6"/>
  <c r="H91" i="6" s="1"/>
  <c r="K92" i="6"/>
  <c r="K91" i="6" s="1"/>
  <c r="J92" i="6"/>
  <c r="J91" i="6" s="1"/>
  <c r="I92" i="6"/>
  <c r="H92" i="6"/>
  <c r="K90" i="6"/>
  <c r="J90" i="6"/>
  <c r="H90" i="6"/>
  <c r="I90" i="6" s="1"/>
  <c r="K89" i="6"/>
  <c r="J89" i="6"/>
  <c r="I89" i="6"/>
  <c r="H89" i="6"/>
  <c r="G87" i="6"/>
  <c r="J87" i="6" s="1"/>
  <c r="G84" i="6"/>
  <c r="K84" i="6" s="1"/>
  <c r="G81" i="6"/>
  <c r="J81" i="6" s="1"/>
  <c r="G79" i="6"/>
  <c r="J79" i="6" s="1"/>
  <c r="G78" i="6"/>
  <c r="K76" i="6"/>
  <c r="J76" i="6"/>
  <c r="H76" i="6"/>
  <c r="G74" i="6"/>
  <c r="J74" i="6" s="1"/>
  <c r="K71" i="6"/>
  <c r="J71" i="6"/>
  <c r="H71" i="6"/>
  <c r="I71" i="6" s="1"/>
  <c r="K70" i="6"/>
  <c r="J70" i="6"/>
  <c r="J69" i="6" s="1"/>
  <c r="H70" i="6"/>
  <c r="I70" i="6" s="1"/>
  <c r="I69" i="6" s="1"/>
  <c r="K69" i="6"/>
  <c r="G68" i="6"/>
  <c r="H68" i="6" s="1"/>
  <c r="G67" i="6"/>
  <c r="G65" i="6"/>
  <c r="K65" i="6" s="1"/>
  <c r="G61" i="6"/>
  <c r="J61" i="6" s="1"/>
  <c r="J59" i="6" s="1"/>
  <c r="K60" i="6"/>
  <c r="I60" i="6" s="1"/>
  <c r="J60" i="6"/>
  <c r="H60" i="6"/>
  <c r="J58" i="6"/>
  <c r="J56" i="6" s="1"/>
  <c r="G58" i="6"/>
  <c r="K58" i="6" s="1"/>
  <c r="K57" i="6"/>
  <c r="J57" i="6"/>
  <c r="H57" i="6"/>
  <c r="I57" i="6" s="1"/>
  <c r="K55" i="6"/>
  <c r="J55" i="6"/>
  <c r="H55" i="6"/>
  <c r="I55" i="6" s="1"/>
  <c r="K54" i="6"/>
  <c r="J54" i="6"/>
  <c r="H54" i="6"/>
  <c r="G52" i="6"/>
  <c r="G53" i="6" s="1"/>
  <c r="J53" i="6" s="1"/>
  <c r="J52" i="6" s="1"/>
  <c r="G51" i="6"/>
  <c r="H51" i="6" s="1"/>
  <c r="K50" i="6"/>
  <c r="J50" i="6"/>
  <c r="H50" i="6"/>
  <c r="I50" i="6" s="1"/>
  <c r="G48" i="6"/>
  <c r="H48" i="6" s="1"/>
  <c r="G45" i="6"/>
  <c r="K45" i="6" s="1"/>
  <c r="K43" i="6" s="1"/>
  <c r="K44" i="6"/>
  <c r="J44" i="6"/>
  <c r="I44" i="6"/>
  <c r="H44" i="6"/>
  <c r="K42" i="6"/>
  <c r="J42" i="6"/>
  <c r="H42" i="6"/>
  <c r="I42" i="6" s="1"/>
  <c r="K41" i="6"/>
  <c r="J41" i="6"/>
  <c r="H41" i="6"/>
  <c r="K40" i="6"/>
  <c r="J40" i="6"/>
  <c r="H40" i="6"/>
  <c r="H39" i="6"/>
  <c r="H38" i="6" s="1"/>
  <c r="G39" i="6"/>
  <c r="K39" i="6" s="1"/>
  <c r="K37" i="6"/>
  <c r="J37" i="6"/>
  <c r="H37" i="6"/>
  <c r="I37" i="6" s="1"/>
  <c r="G36" i="6"/>
  <c r="H36" i="6" s="1"/>
  <c r="G34" i="6"/>
  <c r="J34" i="6" s="1"/>
  <c r="G31" i="6"/>
  <c r="H31" i="6" s="1"/>
  <c r="G29" i="6"/>
  <c r="G30" i="6" s="1"/>
  <c r="G28" i="6"/>
  <c r="G32" i="6" s="1"/>
  <c r="K26" i="6"/>
  <c r="J26" i="6"/>
  <c r="H26" i="6"/>
  <c r="I26" i="6" s="1"/>
  <c r="G25" i="6"/>
  <c r="J25" i="6" s="1"/>
  <c r="J24" i="6" s="1"/>
  <c r="K23" i="6"/>
  <c r="J23" i="6"/>
  <c r="H23" i="6"/>
  <c r="G22" i="6"/>
  <c r="J22" i="6" s="1"/>
  <c r="H20" i="6"/>
  <c r="G20" i="6"/>
  <c r="K20" i="6" s="1"/>
  <c r="A19" i="6"/>
  <c r="A27" i="6" s="1"/>
  <c r="A41" i="6" s="1"/>
  <c r="A42" i="6" s="1"/>
  <c r="A43" i="6" s="1"/>
  <c r="A46" i="6" s="1"/>
  <c r="A55" i="6" s="1"/>
  <c r="A56" i="6" s="1"/>
  <c r="A59" i="6" s="1"/>
  <c r="A62" i="6" s="1"/>
  <c r="A99" i="6" s="1"/>
  <c r="A100" i="6" s="1"/>
  <c r="K18" i="6"/>
  <c r="J18" i="6"/>
  <c r="H18" i="6"/>
  <c r="I18" i="6" s="1"/>
  <c r="J17" i="6"/>
  <c r="J16" i="6" s="1"/>
  <c r="H17" i="6"/>
  <c r="G17" i="6"/>
  <c r="K15" i="6"/>
  <c r="I15" i="6" s="1"/>
  <c r="J15" i="6"/>
  <c r="H15" i="6"/>
  <c r="G14" i="6"/>
  <c r="J14" i="6" s="1"/>
  <c r="J13" i="6" s="1"/>
  <c r="G12" i="6"/>
  <c r="K12" i="6" s="1"/>
  <c r="G10" i="6"/>
  <c r="C134" i="2" l="1"/>
  <c r="D133" i="2"/>
  <c r="C133" i="2" s="1"/>
  <c r="C87" i="2"/>
  <c r="D83" i="2"/>
  <c r="D84" i="2"/>
  <c r="C84" i="2" s="1"/>
  <c r="H34" i="6"/>
  <c r="H45" i="6"/>
  <c r="H43" i="6" s="1"/>
  <c r="H69" i="6"/>
  <c r="H25" i="6"/>
  <c r="H24" i="6" s="1"/>
  <c r="I93" i="6"/>
  <c r="I91" i="6" s="1"/>
  <c r="H16" i="6"/>
  <c r="I23" i="6"/>
  <c r="J45" i="6"/>
  <c r="J43" i="6" s="1"/>
  <c r="I54" i="6"/>
  <c r="H84" i="6"/>
  <c r="K100" i="6"/>
  <c r="J12" i="6"/>
  <c r="J11" i="6" s="1"/>
  <c r="K38" i="6"/>
  <c r="H65" i="6"/>
  <c r="G85" i="6"/>
  <c r="J85" i="6" s="1"/>
  <c r="I99" i="6"/>
  <c r="H103" i="6"/>
  <c r="H100" i="6" s="1"/>
  <c r="I41" i="6"/>
  <c r="J48" i="6"/>
  <c r="J47" i="6" s="1"/>
  <c r="J46" i="6" s="1"/>
  <c r="H61" i="6"/>
  <c r="H59" i="6" s="1"/>
  <c r="H12" i="6"/>
  <c r="I12" i="6" s="1"/>
  <c r="G33" i="6"/>
  <c r="K33" i="6" s="1"/>
  <c r="J65" i="6"/>
  <c r="K56" i="6"/>
  <c r="G66" i="6"/>
  <c r="J66" i="6" s="1"/>
  <c r="J20" i="6"/>
  <c r="J39" i="6"/>
  <c r="J38" i="6" s="1"/>
  <c r="J21" i="6"/>
  <c r="I40" i="6"/>
  <c r="H58" i="6"/>
  <c r="H56" i="6" s="1"/>
  <c r="G69" i="6"/>
  <c r="I76" i="6"/>
  <c r="N14" i="7"/>
  <c r="F17" i="7"/>
  <c r="N10" i="7"/>
  <c r="N17" i="7" s="1"/>
  <c r="O17" i="7" s="1"/>
  <c r="O54" i="8"/>
  <c r="P8" i="8"/>
  <c r="P54" i="8" s="1"/>
  <c r="H30" i="6"/>
  <c r="H29" i="6" s="1"/>
  <c r="J30" i="6"/>
  <c r="K30" i="6"/>
  <c r="H67" i="6"/>
  <c r="H33" i="6"/>
  <c r="H32" i="6" s="1"/>
  <c r="H49" i="6"/>
  <c r="H47" i="6" s="1"/>
  <c r="J64" i="6"/>
  <c r="H35" i="6"/>
  <c r="K64" i="6"/>
  <c r="K14" i="6"/>
  <c r="K13" i="6" s="1"/>
  <c r="K11" i="6" s="1"/>
  <c r="K53" i="6"/>
  <c r="K52" i="6" s="1"/>
  <c r="K66" i="6"/>
  <c r="K74" i="6"/>
  <c r="K79" i="6"/>
  <c r="K98" i="6"/>
  <c r="K96" i="6" s="1"/>
  <c r="H14" i="6"/>
  <c r="H13" i="6" s="1"/>
  <c r="K17" i="6"/>
  <c r="K16" i="6" s="1"/>
  <c r="I20" i="6"/>
  <c r="H22" i="6"/>
  <c r="H21" i="6" s="1"/>
  <c r="H19" i="6" s="1"/>
  <c r="K25" i="6"/>
  <c r="K24" i="6" s="1"/>
  <c r="J31" i="6"/>
  <c r="K34" i="6"/>
  <c r="I34" i="6" s="1"/>
  <c r="J36" i="6"/>
  <c r="J35" i="6" s="1"/>
  <c r="I39" i="6"/>
  <c r="I38" i="6" s="1"/>
  <c r="K48" i="6"/>
  <c r="J51" i="6"/>
  <c r="J49" i="6" s="1"/>
  <c r="H53" i="6"/>
  <c r="H52" i="6" s="1"/>
  <c r="K61" i="6"/>
  <c r="K59" i="6" s="1"/>
  <c r="I65" i="6"/>
  <c r="H66" i="6"/>
  <c r="H64" i="6" s="1"/>
  <c r="J68" i="6"/>
  <c r="J67" i="6" s="1"/>
  <c r="H74" i="6"/>
  <c r="I74" i="6" s="1"/>
  <c r="G75" i="6"/>
  <c r="G77" i="6" s="1"/>
  <c r="H79" i="6"/>
  <c r="I79" i="6" s="1"/>
  <c r="K81" i="6"/>
  <c r="K87" i="6"/>
  <c r="H98" i="6"/>
  <c r="H96" i="6" s="1"/>
  <c r="K22" i="6"/>
  <c r="K21" i="6" s="1"/>
  <c r="I22" i="6"/>
  <c r="K31" i="6"/>
  <c r="K36" i="6"/>
  <c r="K35" i="6" s="1"/>
  <c r="K51" i="6"/>
  <c r="K49" i="6" s="1"/>
  <c r="K68" i="6"/>
  <c r="K67" i="6" s="1"/>
  <c r="H81" i="6"/>
  <c r="G82" i="6"/>
  <c r="J84" i="6"/>
  <c r="H87" i="6"/>
  <c r="G88" i="6"/>
  <c r="I98" i="6"/>
  <c r="I96" i="6" s="1"/>
  <c r="J103" i="6"/>
  <c r="J100" i="6" s="1"/>
  <c r="F26" i="5"/>
  <c r="E26" i="5"/>
  <c r="D26" i="5"/>
  <c r="C25" i="5"/>
  <c r="C24" i="5"/>
  <c r="C23" i="5"/>
  <c r="C22" i="5"/>
  <c r="C21" i="5"/>
  <c r="C20" i="5"/>
  <c r="C19" i="5"/>
  <c r="C18" i="5"/>
  <c r="C17" i="5"/>
  <c r="C16" i="5"/>
  <c r="C15" i="5"/>
  <c r="C14" i="5"/>
  <c r="C13" i="5"/>
  <c r="C12" i="5"/>
  <c r="C11" i="5"/>
  <c r="C10" i="5"/>
  <c r="C9" i="5"/>
  <c r="F26" i="4"/>
  <c r="E26" i="4"/>
  <c r="D26" i="4"/>
  <c r="C26" i="4"/>
  <c r="E30" i="1"/>
  <c r="E28" i="1"/>
  <c r="E18" i="1"/>
  <c r="K27" i="3"/>
  <c r="J27" i="3"/>
  <c r="I27" i="3"/>
  <c r="H27" i="3"/>
  <c r="G27" i="3"/>
  <c r="F27" i="3"/>
  <c r="E27" i="3"/>
  <c r="D27" i="3"/>
  <c r="C26" i="3"/>
  <c r="C25" i="3"/>
  <c r="C24" i="3"/>
  <c r="C23" i="3"/>
  <c r="C22" i="3"/>
  <c r="C21" i="3"/>
  <c r="C20" i="3"/>
  <c r="C19" i="3"/>
  <c r="C18" i="3"/>
  <c r="C17" i="3"/>
  <c r="C16" i="3"/>
  <c r="C15" i="3"/>
  <c r="C14" i="3"/>
  <c r="C13" i="3"/>
  <c r="C12" i="3"/>
  <c r="C11" i="3"/>
  <c r="C10" i="3"/>
  <c r="C83" i="2" l="1"/>
  <c r="C64" i="2" s="1"/>
  <c r="C11" i="2" s="1"/>
  <c r="D64" i="2"/>
  <c r="D11" i="2" s="1"/>
  <c r="I21" i="6"/>
  <c r="J33" i="6"/>
  <c r="J32" i="6" s="1"/>
  <c r="I17" i="6"/>
  <c r="I16" i="6" s="1"/>
  <c r="I31" i="6"/>
  <c r="K19" i="6"/>
  <c r="I103" i="6"/>
  <c r="I100" i="6" s="1"/>
  <c r="I36" i="6"/>
  <c r="I35" i="6" s="1"/>
  <c r="I14" i="6"/>
  <c r="I13" i="6" s="1"/>
  <c r="I11" i="6" s="1"/>
  <c r="K63" i="6"/>
  <c r="I58" i="6"/>
  <c r="I56" i="6" s="1"/>
  <c r="J19" i="6"/>
  <c r="J29" i="6"/>
  <c r="J28" i="6" s="1"/>
  <c r="J27" i="6" s="1"/>
  <c r="J83" i="6"/>
  <c r="H11" i="6"/>
  <c r="H63" i="6"/>
  <c r="H46" i="6"/>
  <c r="H85" i="6"/>
  <c r="C27" i="3"/>
  <c r="C26" i="5"/>
  <c r="I45" i="6"/>
  <c r="I43" i="6" s="1"/>
  <c r="K85" i="6"/>
  <c r="K83" i="6" s="1"/>
  <c r="H86" i="6"/>
  <c r="I66" i="6"/>
  <c r="I64" i="6" s="1"/>
  <c r="I84" i="6"/>
  <c r="H73" i="6"/>
  <c r="K47" i="6"/>
  <c r="K46" i="6" s="1"/>
  <c r="I48" i="6"/>
  <c r="I25" i="6"/>
  <c r="I24" i="6" s="1"/>
  <c r="I19" i="6" s="1"/>
  <c r="I81" i="6"/>
  <c r="I61" i="6"/>
  <c r="I59" i="6" s="1"/>
  <c r="I30" i="6"/>
  <c r="I29" i="6" s="1"/>
  <c r="I53" i="6"/>
  <c r="I52" i="6" s="1"/>
  <c r="J63" i="6"/>
  <c r="K32" i="6"/>
  <c r="I68" i="6"/>
  <c r="I67" i="6" s="1"/>
  <c r="K29" i="6"/>
  <c r="I51" i="6"/>
  <c r="I49" i="6" s="1"/>
  <c r="H88" i="6"/>
  <c r="K88" i="6"/>
  <c r="K86" i="6" s="1"/>
  <c r="J88" i="6"/>
  <c r="J86" i="6" s="1"/>
  <c r="I88" i="6"/>
  <c r="H82" i="6"/>
  <c r="H80" i="6" s="1"/>
  <c r="K82" i="6"/>
  <c r="K80" i="6" s="1"/>
  <c r="K78" i="6" s="1"/>
  <c r="J82" i="6"/>
  <c r="J80" i="6" s="1"/>
  <c r="J78" i="6" s="1"/>
  <c r="I82" i="6"/>
  <c r="H77" i="6"/>
  <c r="H75" i="6" s="1"/>
  <c r="K77" i="6"/>
  <c r="K75" i="6" s="1"/>
  <c r="K73" i="6" s="1"/>
  <c r="J77" i="6"/>
  <c r="J75" i="6" s="1"/>
  <c r="J73" i="6" s="1"/>
  <c r="I77" i="6"/>
  <c r="I75" i="6" s="1"/>
  <c r="I73" i="6" s="1"/>
  <c r="I87" i="6"/>
  <c r="I33" i="6"/>
  <c r="I32" i="6" s="1"/>
  <c r="H28" i="6"/>
  <c r="H27" i="6" s="1"/>
  <c r="A5" i="3"/>
  <c r="A5" i="4" s="1"/>
  <c r="A5" i="5" s="1"/>
  <c r="C36" i="1"/>
  <c r="C35" i="1"/>
  <c r="E34" i="1"/>
  <c r="E32" i="1" s="1"/>
  <c r="D34" i="1"/>
  <c r="D32" i="1" s="1"/>
  <c r="C33" i="1"/>
  <c r="C31" i="1"/>
  <c r="C30" i="1"/>
  <c r="E29" i="1"/>
  <c r="E26" i="1" s="1"/>
  <c r="D29" i="1"/>
  <c r="D26" i="1" s="1"/>
  <c r="C28" i="1"/>
  <c r="C27" i="1"/>
  <c r="C24" i="1"/>
  <c r="C23" i="1"/>
  <c r="C22" i="1"/>
  <c r="C21" i="1"/>
  <c r="C20" i="1"/>
  <c r="C19" i="1"/>
  <c r="E12" i="1"/>
  <c r="C18" i="1"/>
  <c r="C17" i="1"/>
  <c r="C16" i="1"/>
  <c r="C15" i="1"/>
  <c r="C14" i="1"/>
  <c r="C13" i="1"/>
  <c r="D12" i="1"/>
  <c r="I86" i="6" l="1"/>
  <c r="J72" i="6"/>
  <c r="J62" i="6" s="1"/>
  <c r="J10" i="6" s="1"/>
  <c r="H83" i="6"/>
  <c r="H78" i="6" s="1"/>
  <c r="H72" i="6" s="1"/>
  <c r="H62" i="6" s="1"/>
  <c r="H10" i="6" s="1"/>
  <c r="I85" i="6"/>
  <c r="K72" i="6"/>
  <c r="K62" i="6" s="1"/>
  <c r="I83" i="6"/>
  <c r="I63" i="6"/>
  <c r="A4" i="8"/>
  <c r="A5" i="9" s="1"/>
  <c r="A5" i="7"/>
  <c r="I28" i="6"/>
  <c r="I27" i="6" s="1"/>
  <c r="I47" i="6"/>
  <c r="I46" i="6" s="1"/>
  <c r="K28" i="6"/>
  <c r="K27" i="6" s="1"/>
  <c r="I80" i="6"/>
  <c r="I78" i="6" s="1"/>
  <c r="I72" i="6" s="1"/>
  <c r="I62" i="6" s="1"/>
  <c r="C34" i="1"/>
  <c r="C32" i="1" s="1"/>
  <c r="E40" i="1"/>
  <c r="C12" i="1"/>
  <c r="C29" i="1"/>
  <c r="C40" i="1" s="1"/>
  <c r="D40" i="1"/>
  <c r="I10" i="6" l="1"/>
  <c r="K10" i="6"/>
  <c r="C26" i="1"/>
</calcChain>
</file>

<file path=xl/sharedStrings.xml><?xml version="1.0" encoding="utf-8"?>
<sst xmlns="http://schemas.openxmlformats.org/spreadsheetml/2006/main" count="966" uniqueCount="586">
  <si>
    <t>Phụ lục 01</t>
  </si>
  <si>
    <t>HUYỆN NGHI XUÂN</t>
  </si>
  <si>
    <t>TT</t>
  </si>
  <si>
    <t>Thu từ khu vực Quốc doanh</t>
  </si>
  <si>
    <t>Tổng</t>
  </si>
  <si>
    <t xml:space="preserve"> -</t>
  </si>
  <si>
    <t>Thu từ khu vực có VĐT nước ngoài</t>
  </si>
  <si>
    <t>Thu từ khu vực Ngoài Quốc doanh</t>
  </si>
  <si>
    <t>3.1</t>
  </si>
  <si>
    <t>3.2</t>
  </si>
  <si>
    <t>3.3</t>
  </si>
  <si>
    <t>Thuế Thu nhập cá nhân</t>
  </si>
  <si>
    <t>Lệ phí trước bạ</t>
  </si>
  <si>
    <t>Phí, lệ phí</t>
  </si>
  <si>
    <t>Thuế sử dụng đất phi nông nghiệp</t>
  </si>
  <si>
    <t>Tiền thu mặt đất, mặt nước</t>
  </si>
  <si>
    <t>Thu cấp quyền khai thác khoáng sản</t>
  </si>
  <si>
    <t>Thu tiền sử dụng đất</t>
  </si>
  <si>
    <t>Tiền sử dụng đất</t>
  </si>
  <si>
    <t xml:space="preserve"> +</t>
  </si>
  <si>
    <t>-</t>
  </si>
  <si>
    <t>Thu từ quỹ đất công ích, hoa lợi CS</t>
  </si>
  <si>
    <t>Thu khác ngân sách</t>
  </si>
  <si>
    <t xml:space="preserve"> DỰ TOÁN THU NGÂN SÁCH NHÀ NƯỚC NĂM 2023</t>
  </si>
  <si>
    <t>Phụ lục 03</t>
  </si>
  <si>
    <t>STT</t>
  </si>
  <si>
    <t>CÁC CHỈ TIÊU</t>
  </si>
  <si>
    <t>Dự toán HĐND giao 2023</t>
  </si>
  <si>
    <t xml:space="preserve">Tổng số </t>
  </si>
  <si>
    <t>Trong đó</t>
  </si>
  <si>
    <t>Huyện thu</t>
  </si>
  <si>
    <t>Xã, TT thu</t>
  </si>
  <si>
    <t>A</t>
  </si>
  <si>
    <t>B</t>
  </si>
  <si>
    <t>I</t>
  </si>
  <si>
    <t>THU NỘI ĐỊA</t>
  </si>
  <si>
    <t>II</t>
  </si>
  <si>
    <t>THU TỪ HOẠT ĐỘNG XUẤT, NHẬP KHẨU</t>
  </si>
  <si>
    <t>III</t>
  </si>
  <si>
    <t>TỔNG THU NSNN TRÊN ĐỊA BÀN (I+II)</t>
  </si>
  <si>
    <t>Thu Ngân sách Trung ương</t>
  </si>
  <si>
    <t>Ngân sách tỉnh hưởng</t>
  </si>
  <si>
    <t>Thu Ngân sách huyện</t>
  </si>
  <si>
    <t>Ngân sách cấp huyện</t>
  </si>
  <si>
    <t>Ngân sách cấp xã</t>
  </si>
  <si>
    <t>IV</t>
  </si>
  <si>
    <t>THU BỔ SUNG TỪ NGÂN SÁCH CẤP TRÊN</t>
  </si>
  <si>
    <t>Bổ sung cân đối</t>
  </si>
  <si>
    <t>Bổ sung có mục tiêu</t>
  </si>
  <si>
    <t>Bổ sung có MT bằng vốn trong nước</t>
  </si>
  <si>
    <t>Bổ sung có MT bằng vốn nước ngoài</t>
  </si>
  <si>
    <t>V</t>
  </si>
  <si>
    <t>THU VAY</t>
  </si>
  <si>
    <t>VI</t>
  </si>
  <si>
    <t>DỰ KIẾN THU CÁC NHIỆM VỤ CHƯA CHI CHUYỂN NGUỒN SANG NĂM SAU</t>
  </si>
  <si>
    <t>VII</t>
  </si>
  <si>
    <t>THU ĐỂ LẠI CHI QUẢN LÝ QUA NSNN</t>
  </si>
  <si>
    <t>DỰ TOÁN CHI NGÂN SÁCH HUYỆN NĂM 2023</t>
  </si>
  <si>
    <t>ĐVT: Ngàn đồng</t>
  </si>
  <si>
    <t>Dự toán 2023</t>
  </si>
  <si>
    <t>*</t>
  </si>
  <si>
    <t xml:space="preserve">Chi đầu tư phát triển </t>
  </si>
  <si>
    <t>Chi Thường xuyên</t>
  </si>
  <si>
    <t>Chi quốc phòng</t>
  </si>
  <si>
    <t>Chi nhiệm vụ Quốc phòng (Bao gồm cả Ban An toàn làm chủ huyện và Giáo dục QP)</t>
  </si>
  <si>
    <t>Phụ cấp chức vụ cán bộ DQTV (cán bộ tự vệ" 80,46trđ, cán bộ dân quân: 68,659trđ); Phụ cấp đặc thù bt, at DQCĐ 4,470trđ</t>
  </si>
  <si>
    <t>Sơ kết, thi đua khen thưởng và nhiệm vụ khác</t>
  </si>
  <si>
    <t>Chi an ninh và trật tự an toàn xã hội</t>
  </si>
  <si>
    <t>Chi An toàn giao thông</t>
  </si>
  <si>
    <t>Chi Giáo dục - đào tạo và dạy nghề</t>
  </si>
  <si>
    <t>Trung tâm GDNN và Giáo dục thường xuyên</t>
  </si>
  <si>
    <t>Quỹ lương</t>
  </si>
  <si>
    <t xml:space="preserve">Hoạt động bộ máy </t>
  </si>
  <si>
    <t>Đào tạo nghề</t>
  </si>
  <si>
    <t>Trung tâm Chính trị</t>
  </si>
  <si>
    <t>Hoạt động bộ máy</t>
  </si>
  <si>
    <t>Thực hiện nhiệm vụ đào tạo trên địa bàn (bao gồm cả đào tạo cao cấp CT)</t>
  </si>
  <si>
    <t>Chi Y tế, dân số và gia đình</t>
  </si>
  <si>
    <t>Trung tâm Y tế huyện</t>
  </si>
  <si>
    <t>4.1</t>
  </si>
  <si>
    <t xml:space="preserve"> Khối điều trị: Phần khám chữa bệnh đơn vị tự chủ 100%: 623-130-132</t>
  </si>
  <si>
    <t>4.2</t>
  </si>
  <si>
    <t>Khối Y tế dự phòng ( 80/20)</t>
  </si>
  <si>
    <t>a)</t>
  </si>
  <si>
    <t>Phần Trung tâm</t>
  </si>
  <si>
    <t xml:space="preserve">Hoạt động </t>
  </si>
  <si>
    <t xml:space="preserve">Hỗ trợ Bác sỹ, dược sỹ đại học khối khám chữa bệnh theo NQ số 71/2022/NQ-HĐND </t>
  </si>
  <si>
    <t>Thuê bao phần mềm hệ thống "Hồ sơ sức khỏe điện tử"- 3 năm: 2021-2023 (CV số 1610/UBND-VX1 ngày 22/3/2021 của UBND tỉnh )</t>
  </si>
  <si>
    <t>b)</t>
  </si>
  <si>
    <t>Phần Trạm y tế (80/20)</t>
  </si>
  <si>
    <t xml:space="preserve">Quỹ lương+BH 17 trạm y tế </t>
  </si>
  <si>
    <t>Hoạt động 17 trạm  y tế</t>
  </si>
  <si>
    <t>Tiền trực 17 trạm  y tế theo Quyết định số 73/2011/QĐ-TTg ngày 28/12/2011 của Thủ tướng Chính phủ</t>
  </si>
  <si>
    <t>Hỗ trợ Bác sỹ công tác tại trạm y tế: (NQ số 71/2022/NQ-HĐND )</t>
  </si>
  <si>
    <t>4.3</t>
  </si>
  <si>
    <t>Khối Dân số KHH Gia đình ( 80/20)</t>
  </si>
  <si>
    <t xml:space="preserve"> Bộ máy biên chế </t>
  </si>
  <si>
    <t xml:space="preserve"> Hoạt động bộ máy + sự nghiệp dân số theo NQ số 221/2020/NQ-HĐND tỉnh ngày 10/7/2020 giai đoạn 2021-2030: 50tr</t>
  </si>
  <si>
    <t>Chi Văn hóa- Truyền thông</t>
  </si>
  <si>
    <t>Trung tâm Văn hóa - Truyền thông</t>
  </si>
  <si>
    <t xml:space="preserve"> Hoạt động bộ máy</t>
  </si>
  <si>
    <t>CLB ca trù &amp; Quản lý di tích Nguyễn Công Trứ</t>
  </si>
  <si>
    <t xml:space="preserve"> Sự nghiệp văn hoá</t>
  </si>
  <si>
    <t>Hoạt động SN Truyền hình (Nhuận bút;Tuyên truyền;Truyền hình)</t>
  </si>
  <si>
    <t>Chi Thể dục thể thao (Trung tâm Văn hóa - Truyền thông)</t>
  </si>
  <si>
    <t>Chi Bảo vệ môi trường</t>
  </si>
  <si>
    <t>Chi các hoạt động kinh tế</t>
  </si>
  <si>
    <t>8.1</t>
  </si>
  <si>
    <t>Sự nghiệp kinh tế</t>
  </si>
  <si>
    <t>Sự nghiệp Lâm nghiệp</t>
  </si>
  <si>
    <t>Sự nghiệp Nông nghiệp</t>
  </si>
  <si>
    <t>Sự nghiệp Thuỷ lợi 50tr + Phòng chống bão lụt 100tr</t>
  </si>
  <si>
    <t>Sự nghiệp Thuỷ sản</t>
  </si>
  <si>
    <t>Sự nghiệp quản lý Tài Nguyên -Môi trường</t>
  </si>
  <si>
    <t>Chi hoạt động lĩnh vực TN-MT</t>
  </si>
  <si>
    <t>Chi phí thuê tư vấn xác định giá đất cụ thể phục vụ BTGPMB theo thông tư 61/TT-BTC ngày 05/10/2022+ Chi phí thuê tư vấn đấu giá QSD đất trên địa bàn</t>
  </si>
  <si>
    <t>Công nghiệp -TTCN</t>
  </si>
  <si>
    <t>Sự nghiệp Thương mại &amp; DL</t>
  </si>
  <si>
    <t>Sự nghiệp Kinh tế khác</t>
  </si>
  <si>
    <t xml:space="preserve">KP miễn giảm Thủy lợi phí theo Nghị định số 96/2018/NĐ-CP </t>
  </si>
  <si>
    <t>KP đất trồng lúa theo NĐ 35/2015/NĐ-CP</t>
  </si>
  <si>
    <t>Sự nghiệp Thị chính: Trồng mới, chăm sóc cây xanh; chỉnh trang đô thị; duy tu bão dưỡng hạ tầng đô thị; kp điện chiếu sáng đô thị, khu DL)</t>
  </si>
  <si>
    <t>Kp hoạt động, phụ cấp BCĐ nông thôn mới, đô thị văn minh trên địa bàn</t>
  </si>
  <si>
    <t>8.2</t>
  </si>
  <si>
    <t>TT Ứng dụng Khoa học kỹ thuật &amp; Bảo vệ cây trồng vật nuôi (80/20 )</t>
  </si>
  <si>
    <t xml:space="preserve">Bộ máy của Trung tâm </t>
  </si>
  <si>
    <t>Hoạt động bộ máy trung tâm</t>
  </si>
  <si>
    <t>Chi hoạt động cơ quan quản lý nhà nước, đảng, đoàn thể</t>
  </si>
  <si>
    <t>a.</t>
  </si>
  <si>
    <t>Chi Quản lý Nhà nước.</t>
  </si>
  <si>
    <t>Hội đồng nhân dân huyện</t>
  </si>
  <si>
    <t>PC HĐND (31 người;Mức tính 0,4 +Pc kiêm nhiệm=12,4*1.490.000đ*12T)</t>
  </si>
  <si>
    <t xml:space="preserve"> Cơ quan UBND huyện</t>
  </si>
  <si>
    <t xml:space="preserve">Biên chế +HĐ </t>
  </si>
  <si>
    <t>Quỹ lương biên chế chưa tuyển dụng</t>
  </si>
  <si>
    <t>Hoạt động BC+HĐ của bộ máy</t>
  </si>
  <si>
    <t>Phụ cấp đặc thù cho Bác sỹ, dược sỹ quản lý phòng Y tế cấp huyện (NQ số 71/2022/NQ-HĐND)</t>
  </si>
  <si>
    <t>Phụ cấp CNTT theo QĐ số  60/2014/QĐ-UBND tỉnh ngày 05/9/2014</t>
  </si>
  <si>
    <t>Hoạt động chi bộ cơ sở theo QĐ 99/2012/QĐ-TW: 250tr/chính quyền/năm</t>
  </si>
  <si>
    <t>Chi hoạt động trang Web ( hoạt động+nhuận bút+khác): 120tr+ ISô: 50tr</t>
  </si>
  <si>
    <t>Tuyên truyền PL (Tư pháp)+Kiểm tra rà soát VBQPPL; công tác hòa giải cơ sở.+ BCĐ CCTP huyện…</t>
  </si>
  <si>
    <t>Thanh tra nhà nước (bao gồm cả trang cấp thanh tra tại Thông tư liên tịch số: 73/2015/TTLT-BTC-TTCP)</t>
  </si>
  <si>
    <t>Công tác tôn giáo (chùa+giáo xứ, giáo họ) Nội vụ, TĐKT</t>
  </si>
  <si>
    <t>Tuyển dụng công chức, viên chức + công tác CCHC+ nhiệm vụ khác phát sinh</t>
  </si>
  <si>
    <t>Quản lý Nhà nước về Văn hoá, thể thao và DL (Trong đó: Phong trào toàn dân: 50tr; hoạt động công nghệ TT:30tr)</t>
  </si>
  <si>
    <t>Quản lý Nhà nước về Y tế</t>
  </si>
  <si>
    <t>Tiếp dân, xử lý đơn thư, khiếu nại tố cáo...</t>
  </si>
  <si>
    <t>Kp hoạt động TT Hành chính công huyện</t>
  </si>
  <si>
    <t>Phần mềm Quản lý và khai thác báo cáo ngân sách</t>
  </si>
  <si>
    <t>Kp BCĐ phát triển Du lịch và các hoạt động phát triển Du lịch trên địa bàn</t>
  </si>
  <si>
    <t>b.</t>
  </si>
  <si>
    <t>Ngân sách hoạt động của Đảng</t>
  </si>
  <si>
    <t>Huyện ủy</t>
  </si>
  <si>
    <t>Cơ quan Huyện uỷ</t>
  </si>
  <si>
    <t>PC cấp uỷ theo QĐ 315/QĐ-TW; 37 người phụ cấp  0,4</t>
  </si>
  <si>
    <t>PC cơ yếu</t>
  </si>
  <si>
    <t xml:space="preserve">PC báo cáo viên huyện xã ( 25 người phụ cấp 0,2 )                                                     </t>
  </si>
  <si>
    <t>PC đội ngũ công tác dư luận xã hội: 19 người x 0,2</t>
  </si>
  <si>
    <t>PC BCĐ 35 (Chế độ diễn biến hòa bình theo CV số 39-HD/VPTW ngày 16/10/2018)</t>
  </si>
  <si>
    <t>PC ban chỉ đạo công tác tôn giáo theo QĐ số 249/2019 ngày 19/12/2019 (25 người)</t>
  </si>
  <si>
    <t xml:space="preserve">Tiền trang phục của BCH, cán bộ huyện ủy theo QĐ số 774-QĐ/TU </t>
  </si>
  <si>
    <t>Hoạt động chung của cấp ủy và hoạt động khác</t>
  </si>
  <si>
    <t>Ban bảo vệ chính trị nội bộ huyện (QĐ số 126-QĐ/TW ngày 28/02/2018 của BCH TW)</t>
  </si>
  <si>
    <t>Hoạt động chi bộ cơ sở theo QĐ 99/2012/QĐ-TW: 200tr/huyện ủy/năm</t>
  </si>
  <si>
    <t>Đoàn công tác TVHU</t>
  </si>
  <si>
    <t>BCĐ công tác tôn giáo; BCĐ quy chế dân chủ; BCĐ dân vận khéo</t>
  </si>
  <si>
    <t>Hoạt động học tập và làm theo tấm gương đạo đức Hồ Chí Minh</t>
  </si>
  <si>
    <t>Hoạt động BCĐ 35 (Chế độ diễn biến hòa bình theo CV số 39-HD/VPTW ngày 16/10/2018)</t>
  </si>
  <si>
    <t>Hoạt động 4 ban Đảng, Vp x 150tr/Ban + công tác NC 50tr</t>
  </si>
  <si>
    <t>Kinh phí đoàn kiểm tra, giám sát, giải quyết KNTC, kiến nghị phản ánh và đoàn xem xét, đề nghị thi hành kỷ luật của BTV HU và UBKT huyện ủy 200tr; Kp đoàn kiểm tra của các ban XD đảng: Tuyên giáo; Tổ chức; Dân vận và VP HU 100tr</t>
  </si>
  <si>
    <t>Tạp chí thông tin của huyện</t>
  </si>
  <si>
    <t>Mua sắm, sửa chữa tài sản</t>
  </si>
  <si>
    <t>Ban Chăm sóc, bảo vệ sức khoẻ cán bộ</t>
  </si>
  <si>
    <t>Phụ cấp cho CB bảo vệ SK, chăm sóc cán bộ theo văn bản số 1278/CV-VPTW ngày 30/3/2009: (7 người x 0.3 x 1.490.000đ x 12T)</t>
  </si>
  <si>
    <t>Hoạt động khám sức khoẻ định kỳ cho cán bộ (Tỉnh và huyện )+ Kinh phí thăm viếng; Kp theo qui định 681/QĐ/TU và thông báo số 166/TB/HU và hoạt động khác</t>
  </si>
  <si>
    <t>c.</t>
  </si>
  <si>
    <t>UBMTTQ Việt Nam huyện và Đoàn thể cấp huyện</t>
  </si>
  <si>
    <t>Mặt Trận Tổ Quốc</t>
  </si>
  <si>
    <t>Ủy Ban đoàn kết Công giáo theo VB số 286/BTC-HCSN ngày 13/6/2012 của BTC</t>
  </si>
  <si>
    <t>Hỗ trợ sinh hoạt phí UVUB MTTQ theo QĐ số  33/2014/TTg ngày 28/5/2014 và CV số 166/CV-MT TTQ tỉnh (24 người x120.000đ/tháng x 12T)</t>
  </si>
  <si>
    <t>Hoạt động chi bộ cơ sở theo QĐ 99/2012/QĐ-TW: 100tr/Khối dân/năm</t>
  </si>
  <si>
    <t>Hoạt động Quỹ người nghèo; Giám sát, phản biển XH, Cuộc vận động toàn dân đoàn kết XD NTM và đô thị văn minh`</t>
  </si>
  <si>
    <t>Đoàn Thanh niên</t>
  </si>
  <si>
    <t>Hội Phụ nữ huyện</t>
  </si>
  <si>
    <t>Kinh phí thực hiện 02 đề án: Hỗ trợ phụ nữ khởi nghiệp giai đoạn 2017-2025: QĐ số 939/QĐ-TTg ngày 30/6/2017 : 50tr; Hỗ trợ Tuyên truyền, giáo dục, vận động, hỗ trợ phụ nữ tham gia giải quyết 1 số vấn đề XH liên quan đến phụ nữ giai đoạn 2017-2027: QĐ số 938/QĐ-TTg ngày 30/6/2017: 50tr</t>
  </si>
  <si>
    <t>Hội nông dân huyện</t>
  </si>
  <si>
    <t xml:space="preserve">Hội cựu chiến binh </t>
  </si>
  <si>
    <t>Chi đảm bảo xã hội</t>
  </si>
  <si>
    <t>10.1</t>
  </si>
  <si>
    <t>Hội quần chúng (80/20)</t>
  </si>
  <si>
    <t>Hội chữ Thập đỏ.</t>
  </si>
  <si>
    <t>Hoạt động cứu trợ</t>
  </si>
  <si>
    <t>Hội Người mù</t>
  </si>
  <si>
    <t>c)</t>
  </si>
  <si>
    <t>Hoạt động của các hội đặc thù cấp huyện</t>
  </si>
  <si>
    <t>Hội người cao tuổi</t>
  </si>
  <si>
    <t>Hội bảo trợ người khuyết tật và trẻ mồ côi</t>
  </si>
  <si>
    <t>Hội khuyến học - Cựu giáo chức</t>
  </si>
  <si>
    <t>Hội cựu TNXP</t>
  </si>
  <si>
    <t>Hội nạn nhân chất độc da cam - Dioxin</t>
  </si>
  <si>
    <t>Hoạt động Ban chỉ đạo học tập suốt đời + Hoạt động khuyến học + Hoạt động xã hội học tập</t>
  </si>
  <si>
    <t>10.2</t>
  </si>
  <si>
    <r>
      <t xml:space="preserve">Quản trang, khánh tiết, và bảo đảm xã hội khác </t>
    </r>
    <r>
      <rPr>
        <i/>
        <sz val="11"/>
        <rFont val="Times New Roman"/>
        <family val="1"/>
      </rPr>
      <t>(Trong đó: Ban Vì sự tiến bộ phụ nữ:50tr)</t>
    </r>
  </si>
  <si>
    <t>10.3</t>
  </si>
  <si>
    <t>Bảo hiểm y tế hộ gia đình giai đoạn 2022-2025, dự kiến 1 năm (Dự kiến 3.081 người)</t>
  </si>
  <si>
    <t>10.4</t>
  </si>
  <si>
    <t>Chi bảo hiểm y tế người nghèo 2022</t>
  </si>
  <si>
    <t>10.5</t>
  </si>
  <si>
    <t>Bảo hiểm y tế CCB 1,357 tỷ; TNXP, DQDK 1,103 tỷ</t>
  </si>
  <si>
    <t>10.6</t>
  </si>
  <si>
    <t>Bảo hiểm y tế đối với đối tượng bảo trợ XH</t>
  </si>
  <si>
    <t>10.7</t>
  </si>
  <si>
    <t xml:space="preserve">Trợ cấp Thường xuyên cho các đối tượng theo NĐ 20/2021/NĐ-CP </t>
  </si>
  <si>
    <t>10.8</t>
  </si>
  <si>
    <t>Hỗ trợ giảm nghèo theo Nghị quyết số 72/2022/NQ-HĐND tỉnh ngày 17/7/2022</t>
  </si>
  <si>
    <t>10.9</t>
  </si>
  <si>
    <t>Tiền điện hộ nghèo, hộ chính sách</t>
  </si>
  <si>
    <t>10.10</t>
  </si>
  <si>
    <t>Kinh phí chúc thọ, mừng thọ</t>
  </si>
  <si>
    <t>10.11</t>
  </si>
  <si>
    <t>Hỗ trợ nguồn vốn cho vay hộ nghèo, hộ CS tại NH chính sách XH huyện 1 tỷ và quỹ hội Nông dân 200tr</t>
  </si>
  <si>
    <t>Chi khác ngân sách</t>
  </si>
  <si>
    <t>Hoạt động KN ngày lễ lớn; đại hội; đoàn ra đoàn vào, xúc tiến đầu tư; hoạt động khác…</t>
  </si>
  <si>
    <t>Chi cho công tác Thi đua khen thưởng</t>
  </si>
  <si>
    <t>Chi sữa chữa, mua sắm TS</t>
  </si>
  <si>
    <t>Dự phòng Ngân sách huyện</t>
  </si>
  <si>
    <t>Chỉ tiêu</t>
  </si>
  <si>
    <t>TỔNG SỐ</t>
  </si>
  <si>
    <t>Tổng số</t>
  </si>
  <si>
    <t>DỰ TOÁN THU NGÂN SÁCH NHÀ NƯỚC GIAO CHO CÁC XÃ, THỊ TRẤN NĂM 2023</t>
  </si>
  <si>
    <t>Đơn vị: Ngàn đồng</t>
  </si>
  <si>
    <t>Đơn vị</t>
  </si>
  <si>
    <t>Tổng thu</t>
  </si>
  <si>
    <t>Thu 
Ngoài QD</t>
  </si>
  <si>
    <t>Lệ Phí trước bạ</t>
  </si>
  <si>
    <t>Thuế SD đất phi NN</t>
  </si>
  <si>
    <t>Tiền thuê đất mặt nước</t>
  </si>
  <si>
    <t>Cấp quyền khai thác khoáng sản</t>
  </si>
  <si>
    <t>Thu tại xã</t>
  </si>
  <si>
    <t>Xã Xuân Hội</t>
  </si>
  <si>
    <t>Xã Đan Trường</t>
  </si>
  <si>
    <t>Xã Xuân Phổ</t>
  </si>
  <si>
    <t>Xã Xuân Hải</t>
  </si>
  <si>
    <t>Xã Xuân Yên</t>
  </si>
  <si>
    <t>Xã Xuân Thành</t>
  </si>
  <si>
    <t>Xã Xuân Mỹ</t>
  </si>
  <si>
    <t>Xã Cổ Đạm</t>
  </si>
  <si>
    <t>Xã Xuân Liên</t>
  </si>
  <si>
    <t>Xã Cương Gián</t>
  </si>
  <si>
    <t>TT Tiên Điền</t>
  </si>
  <si>
    <t>Xã Xuân Giang</t>
  </si>
  <si>
    <t>Xã Xuân Viên</t>
  </si>
  <si>
    <t>TT Xuân An</t>
  </si>
  <si>
    <t>Xã Xuân Hồng</t>
  </si>
  <si>
    <t>Xã Xuân Lam</t>
  </si>
  <si>
    <t>Xã Xuân Lĩnh</t>
  </si>
  <si>
    <t>Cộng</t>
  </si>
  <si>
    <t>Đơn vị tính: Ngàn đồng</t>
  </si>
  <si>
    <t>DỰ TOÁN THU NGÂN SÁCH XÃ, THỊ TRẤN NĂM 2023</t>
  </si>
  <si>
    <t>Tổng thu NSNN trên địa bàn</t>
  </si>
  <si>
    <t>Tổng thu Ngân sách xã, thị năm 2023</t>
  </si>
  <si>
    <t>Thu ngân sách xã, thị hưởng</t>
  </si>
  <si>
    <t>Thu bổ sung cân đối NS 2023</t>
  </si>
  <si>
    <t>Xuân Hội</t>
  </si>
  <si>
    <t>Đan Trường</t>
  </si>
  <si>
    <t>Xuân Phổ</t>
  </si>
  <si>
    <t>Xuân Hải</t>
  </si>
  <si>
    <t>Xuân Yên</t>
  </si>
  <si>
    <t>Xuân Thành</t>
  </si>
  <si>
    <t>Xuân Mỹ</t>
  </si>
  <si>
    <t>Cổ Đạm</t>
  </si>
  <si>
    <t>Xuân Liên</t>
  </si>
  <si>
    <t>Cương Gián</t>
  </si>
  <si>
    <t>Xuân Giang</t>
  </si>
  <si>
    <t>Xuân Viên</t>
  </si>
  <si>
    <t>Xuân Hồng</t>
  </si>
  <si>
    <t>Xuân Lam</t>
  </si>
  <si>
    <t>Xuân Lĩnh</t>
  </si>
  <si>
    <t>Tổng cộng</t>
  </si>
  <si>
    <t>DỰ TOÁN CHI NGÂN SÁCH XÃ, THỊ TRẤN NĂM 2023</t>
  </si>
  <si>
    <t>Tên đơn vị</t>
  </si>
  <si>
    <t>TỔNG CHI NS XÃ, THỊ</t>
  </si>
  <si>
    <t>CHI ĐTPT</t>
  </si>
  <si>
    <t>CHI THƯỜNG XUYÊN</t>
  </si>
  <si>
    <t>DỰ PHÒNG NS</t>
  </si>
  <si>
    <t>1=2+3+4</t>
  </si>
  <si>
    <t>Thị trấn Tiên Điền</t>
  </si>
  <si>
    <t>TỔNG THU NSĐP</t>
  </si>
  <si>
    <t>Phụ lục 02</t>
  </si>
  <si>
    <t>Phụ lục 04</t>
  </si>
  <si>
    <t>Phụ lục 05</t>
  </si>
  <si>
    <t>HỘI ĐỒNG NHÂN DÂN</t>
  </si>
  <si>
    <t>(Kèm theo Nghị quyết số            /NQ-HĐND ngày          /12/2022 của HĐND huyện Nghi Xuân)</t>
  </si>
  <si>
    <t>1=2+3</t>
  </si>
  <si>
    <t>Quy hoạch huyện</t>
  </si>
  <si>
    <t>Hỗ trợ các đơn vị xây dựng NTM nâng cao, kiểu mẫu</t>
  </si>
  <si>
    <t>Hỗ trợ xây dựng đô thị, văn minh loại IV</t>
  </si>
  <si>
    <t>Đối ứng kinh phí đề án Xi măng</t>
  </si>
  <si>
    <t>Hỗ trợ Giải phóng mặt bằng các dự án</t>
  </si>
  <si>
    <t>Đối ứng các dự án sử dụng ngân sách trung ương, ngân sách tỉnh bổ sung có mục tiêu</t>
  </si>
  <si>
    <t>6.1</t>
  </si>
  <si>
    <t>Hạ tầng khu du lịch biển Xuân Thành, huyện Nghi Xuân</t>
  </si>
  <si>
    <t>6.2</t>
  </si>
  <si>
    <t>Trạm y tế xã Cổ Đạm</t>
  </si>
  <si>
    <t>6.3</t>
  </si>
  <si>
    <t>Trạm y tế xã Đan Trường</t>
  </si>
  <si>
    <t>6.4</t>
  </si>
  <si>
    <t>Nhà học 02 tầng 08 phòng Trường Tiểu học Cương Gián 1</t>
  </si>
  <si>
    <t>6.5</t>
  </si>
  <si>
    <t>Nhà học 2 tầng 10 phòng trường Tiểu học Xuân Hồng, cơ sở 2</t>
  </si>
  <si>
    <t>6.6</t>
  </si>
  <si>
    <t>Nhà học bộ môn trường THCS Đan Trường Hội</t>
  </si>
  <si>
    <t>6.7</t>
  </si>
  <si>
    <t>Hệ thống kênh thoát lũ xã Cổ Đạm, Xuân Liên.</t>
  </si>
  <si>
    <t>6.8</t>
  </si>
  <si>
    <t>Nhà đa năng trường THPT Nghi Xuân</t>
  </si>
  <si>
    <t>Thanh toán khối lượng hoàn thành các dự án chuyển tiếp và các dự án đã chấp thuận chủ trương năm 2022</t>
  </si>
  <si>
    <t>7.1</t>
  </si>
  <si>
    <t>Đường nối QL1A tới bãi đậu xe và bãi đậu xe đền chợ Củi, xã Xuân Hồng</t>
  </si>
  <si>
    <t>7.2</t>
  </si>
  <si>
    <t>Nâng cấp tuyến đường từ QL 1A vào mỏ đá B19 đến đền Thánh Mẩu xã Xuân Lam</t>
  </si>
  <si>
    <t>7.3</t>
  </si>
  <si>
    <t>Nhà học trường tiểu học Xuân Phổ, xã Xuân Phổ</t>
  </si>
  <si>
    <t>7.4</t>
  </si>
  <si>
    <t>Nhà hiệu bộ trường THCS Thành Mỹ, xã Xuân Mỹ</t>
  </si>
  <si>
    <t>7.5</t>
  </si>
  <si>
    <t>Nhà đa năng trường THCS Lam Hồng, Xã Xuân Hồng</t>
  </si>
  <si>
    <t>7.6</t>
  </si>
  <si>
    <t>Nâng cấp tuyến đường từ Cầu Trộ Su đến sân Gol Xuân Thành</t>
  </si>
  <si>
    <t>7.7</t>
  </si>
  <si>
    <t>Xây dựng các tuyến đường nội thị TT Xuân An</t>
  </si>
  <si>
    <t>7.8</t>
  </si>
  <si>
    <t>Nhà học trường Tiểu học Thị trấn Tiên Điền</t>
  </si>
  <si>
    <t>7.9</t>
  </si>
  <si>
    <t>Nhà học trường Tiểu học Xuân Yên, xã Xuân Yên</t>
  </si>
  <si>
    <t>7.10</t>
  </si>
  <si>
    <t>Nhà hiệu bộ, chức năng trường Mầm non Xuân Hải</t>
  </si>
  <si>
    <t>7.11</t>
  </si>
  <si>
    <t>Nhà tắm công cộng và các hạng mục phụ trợ Quảng trường KDL Xuân Thành</t>
  </si>
  <si>
    <t>7.12</t>
  </si>
  <si>
    <t>Kiên cố hóa tuyến mương tưới tiêu đồng Đạ thôn Trung Vượng xã Xuân Liên</t>
  </si>
  <si>
    <t>7.13</t>
  </si>
  <si>
    <t>Tuyến mương tiêu trục tiêu 05 đoạn qua Cầu Đồng Vanh đi ra Sông Lam</t>
  </si>
  <si>
    <t>7.14</t>
  </si>
  <si>
    <t>Khắc phục và phòng, chống sạt lở kênh thoát hạ lưu tràn Đồng Ván, xã Xuân Hồng, huyện Nghi Xuân</t>
  </si>
  <si>
    <t>7.15</t>
  </si>
  <si>
    <t>Xử lý cấp bách việc chống sạt lở bờ biển đoạn qua xã Xuân Hội, huyện Nghi Xuân</t>
  </si>
  <si>
    <t>7.16</t>
  </si>
  <si>
    <t>Nâng cấp tuyến đường HL01 (Giang - Viên - Lĩnh) đoạn qua thôn An Tiên, xã Xuân Giang</t>
  </si>
  <si>
    <t>7.17</t>
  </si>
  <si>
    <t>Lắp đặt cụm đèn tín hiệu giao thông tại nút giao ngã tư chợ Cầu - xã Xuân Yên và di dời cụm đèn tín hiệu tại nút giao rẽ vào Khu di tích Nguyễn Du</t>
  </si>
  <si>
    <t>7.18</t>
  </si>
  <si>
    <t>Nâng cấp khuôn viên Trung tâm y tế huyện Nghi Xuân</t>
  </si>
  <si>
    <t>7.19</t>
  </si>
  <si>
    <t>Lắp đặt hệ thống trang trí, thiết bị TDTT và vui chơi giải trí Quảng trường Nguyễn Du</t>
  </si>
  <si>
    <t>7.20</t>
  </si>
  <si>
    <t>Nâng cấp, mở rộng Quảng trường Khu du lịch biển Xuân Thành</t>
  </si>
  <si>
    <t>7.21</t>
  </si>
  <si>
    <t xml:space="preserve">Nhà đa năng Trường THCS Phổ Hải </t>
  </si>
  <si>
    <t>7.22</t>
  </si>
  <si>
    <t>Nâng cấp sữa chữa khuôn viên Trung tâm chính trị huyện</t>
  </si>
  <si>
    <t>Nhà học Trường tiểu học Xuân Mỹ</t>
  </si>
  <si>
    <t>8.3</t>
  </si>
  <si>
    <t xml:space="preserve">Trường THCS xã Xuân Viên, huyện Nghi Xuân - Hạng mục Khối phòng hành chính, học tập và phụ trợ </t>
  </si>
  <si>
    <t>8.4</t>
  </si>
  <si>
    <t>8.5</t>
  </si>
  <si>
    <t>Nâng cấp đài truyền thanh ứng dụng công nghệ thông tin – viễn thông huyện Nghi Xuân và 17 đài truyền thanh cơ sở thuộc các xã, thị trấn</t>
  </si>
  <si>
    <t>8.6</t>
  </si>
  <si>
    <t>Cải tạo, nâng cấp Trụ sở Công an huyện Nghi Xuân</t>
  </si>
  <si>
    <t>8.7</t>
  </si>
  <si>
    <t>8.8</t>
  </si>
  <si>
    <t>Cầu Trúc Bè, xã Xuân Lĩnh</t>
  </si>
  <si>
    <t>8.9</t>
  </si>
  <si>
    <t>Hạ tầng chống ngập úng ven biển làng Cam Lâm, xã Xuân Liên</t>
  </si>
  <si>
    <t>8.10</t>
  </si>
  <si>
    <t>Nâng cấp, mở rộng đường Nguyễn Nhiệm, thị trấn Tiên Điền (đoạn từ cổng sau Khu lưu niệm Nguyễn Du đến tiếp nối tuyến đường L1)</t>
  </si>
  <si>
    <t>Duy tu, bảo trì đường bộ</t>
  </si>
  <si>
    <t xml:space="preserve">DỰ TOÁN THU NSNN TRÊN ĐỊA BÀN NĂM 2023 PHÂN CHIA CÁC CẤP NGÂN SÁCH </t>
  </si>
  <si>
    <t>ĐVT: Triệu đồng.</t>
  </si>
  <si>
    <t>Nội dung</t>
  </si>
  <si>
    <t>Tỷ lệ phân chia</t>
  </si>
  <si>
    <t>Dự toán năm 2023</t>
  </si>
  <si>
    <t>Phân chia các cấp ngân sách</t>
  </si>
  <si>
    <t>TƯ</t>
  </si>
  <si>
    <t>NST</t>
  </si>
  <si>
    <t>NSH</t>
  </si>
  <si>
    <t>NSX</t>
  </si>
  <si>
    <t>NSTW</t>
  </si>
  <si>
    <t>NS cấp tỉnh</t>
  </si>
  <si>
    <t>NS cấp huyện</t>
  </si>
  <si>
    <t>NS cấp xã</t>
  </si>
  <si>
    <t>TỔNG CỘNG</t>
  </si>
  <si>
    <t>1.1</t>
  </si>
  <si>
    <t>Thuế VAT - TNDN</t>
  </si>
  <si>
    <t>1.2</t>
  </si>
  <si>
    <t>Thuế Tiêu thụ đặc biệt</t>
  </si>
  <si>
    <t>Mặt hàng riệu, bia, thuốc lá, ô tô dưới 24 chổ, xăng các loại</t>
  </si>
  <si>
    <t xml:space="preserve">Mặt hàng khác </t>
  </si>
  <si>
    <t>1.3</t>
  </si>
  <si>
    <t>Thuế Tài nguyên</t>
  </si>
  <si>
    <t>Tài nguyên rừng và khoáng sản</t>
  </si>
  <si>
    <t xml:space="preserve">Tài nguyên khác </t>
  </si>
  <si>
    <t>2.1</t>
  </si>
  <si>
    <t>2.2</t>
  </si>
  <si>
    <t>2.3</t>
  </si>
  <si>
    <t>a</t>
  </si>
  <si>
    <t>Phát sinh trên địa bàn thị trấn Xuân An</t>
  </si>
  <si>
    <t>Doanh nghiệp, hợp tác xã</t>
  </si>
  <si>
    <t>Hộ cá thể</t>
  </si>
  <si>
    <t>b</t>
  </si>
  <si>
    <t>Phát sinh trên địa bàn xã, thị trấn còn lại</t>
  </si>
  <si>
    <t>Thuế bảo vệ môi trường</t>
  </si>
  <si>
    <t>Trước bạ nhà, đất</t>
  </si>
  <si>
    <t>Trước bạ các tài sản khác</t>
  </si>
  <si>
    <t>Lệ phí Môn bài</t>
  </si>
  <si>
    <t>Cá nhân, hộ kinh doanh</t>
  </si>
  <si>
    <t>Phát sinh trên địa bàn phường</t>
  </si>
  <si>
    <t>Phát sinh trên địa bàn xã, thị trấn</t>
  </si>
  <si>
    <t>Phí, lệ phí (còn lại)</t>
  </si>
  <si>
    <t>Huyện quản lý thu</t>
  </si>
  <si>
    <t>Xã quản lý thu</t>
  </si>
  <si>
    <t>Phát sinh trên địa bàn xã</t>
  </si>
  <si>
    <t>Phát sinh trên địa bàn phường, thị trấn</t>
  </si>
  <si>
    <t>Trung ương cấp phép</t>
  </si>
  <si>
    <t>Tỉnh cấp phép</t>
  </si>
  <si>
    <t>11.1</t>
  </si>
  <si>
    <t>Thu từ Đề án phát triển quỹ đất</t>
  </si>
  <si>
    <t>Đối với Đề án do BQL Khu kinh tế tỉnh và Trung tâm phát triển Quỹ đất tỉnh làm Chủ đầu tư</t>
  </si>
  <si>
    <t>Chi phí thực hiện Đề án (55%)</t>
  </si>
  <si>
    <t>45% số thu còn lại (xem là 100%)</t>
  </si>
  <si>
    <t>Do cấp huyện làm Chủ đầu tư</t>
  </si>
  <si>
    <t>PS trên địa bàn xã</t>
  </si>
  <si>
    <t>PS trên địa bàn thị trấn</t>
  </si>
  <si>
    <t>11.2</t>
  </si>
  <si>
    <t>Thu từ quỹ đất tái định cư các dự án</t>
  </si>
  <si>
    <t>Các dự án do tỉnh làm Chủ đầu tư</t>
  </si>
  <si>
    <t>Các dự án có sử dụng vốn NSTW, TPCP</t>
  </si>
  <si>
    <t>Các dự án sử dụng 100% vốn NS tỉnh</t>
  </si>
  <si>
    <r>
      <rPr>
        <b/>
        <u/>
        <sz val="10"/>
        <rFont val="Times New Roman"/>
        <family val="1"/>
      </rPr>
      <t>Đối với các Dự án do huyện làm Chủ đầu tư</t>
    </r>
    <r>
      <rPr>
        <b/>
        <sz val="10"/>
        <rFont val="Times New Roman"/>
        <family val="1"/>
      </rPr>
      <t xml:space="preserve"> (trong trường hợp được UBND tỉnh ủy quyền)</t>
    </r>
  </si>
  <si>
    <t>c</t>
  </si>
  <si>
    <t>Các dự án được đầu tư từ nguồn NS tỉnh và một phần của NS huyện</t>
  </si>
  <si>
    <t>d</t>
  </si>
  <si>
    <t>Các dự án được đầu tư 100% nguồn NS huyện</t>
  </si>
  <si>
    <t>Thu từ các lô đất dôi dư tại các Khu tái định cư được đầu tư từ nguồn NSTW, TPCP</t>
  </si>
  <si>
    <t>11.3</t>
  </si>
  <si>
    <t>Thu từ Quỹ đất giao cho nhà đầu tư</t>
  </si>
  <si>
    <t>11.4</t>
  </si>
  <si>
    <t>Thu từ quỹ đất chuyên dùng</t>
  </si>
  <si>
    <t>Quỹ đất do cơ quan trung ương, cấp tỉnh quản lý</t>
  </si>
  <si>
    <t>Quỹ đất do cơ quan cấp huyện quản lý</t>
  </si>
  <si>
    <t>Quỹ đất do cơ quan cấp xã quản lý</t>
  </si>
  <si>
    <t>11.5</t>
  </si>
  <si>
    <t>Thu từ quỹ đất đầu tư từ nguồn vốn vay của Bộ Tài chính</t>
  </si>
  <si>
    <t>11.9</t>
  </si>
  <si>
    <t>Đối với Quỹ đất còn lại</t>
  </si>
  <si>
    <t>Do cấp huyện thực hiện</t>
  </si>
  <si>
    <t>Do cấp xã thực hiện</t>
  </si>
  <si>
    <t>Thu phạt ATGT</t>
  </si>
  <si>
    <t>Thu khác ngân sách xã</t>
  </si>
  <si>
    <t>Thu khác ngân sách huyện</t>
  </si>
  <si>
    <t>Phụ lục 06</t>
  </si>
  <si>
    <t xml:space="preserve"> Chi cho Sự nghiệp giáo dục ( Trường học của các bậc học có dự toán chi tiết kèm theo)</t>
  </si>
  <si>
    <t>TỔNG HỢP GIAO DỰ TOÁN NGÂN SÁCH SỰ NGHIỆP GIÁO DỤC VÀ ĐÀO TẠO NĂM 2023</t>
  </si>
  <si>
    <t>TÊN ĐƠN VỊ</t>
  </si>
  <si>
    <t>QUỸ LƯƠNG</t>
  </si>
  <si>
    <t>GIAO HOẠT ĐỘNG</t>
  </si>
  <si>
    <t>Bù buổi 2</t>
  </si>
  <si>
    <t>Bù kinh phí để đảm bảo định biên 1,42</t>
  </si>
  <si>
    <t>Giáo viên hợp đồng</t>
  </si>
  <si>
    <t>Kinh phí hỗ trợ tiền ăn cho trẻ 3,4,5 tuổi theo Nghị định 105/2020/NĐ-CP</t>
  </si>
  <si>
    <t>Kinh phí cấp bù, miễn giảm học phí theo Nghị định số 81/2021/NĐ-CP</t>
  </si>
  <si>
    <t>Kinh phí hỗ trợ chi phí học tập theo Nghị định số 81/2021/NĐ-CP</t>
  </si>
  <si>
    <t xml:space="preserve">Kinh phí hỗ trợ học bổng học sinh khuyết tật theo Thông tư liên tịch số 42/2013/TTLT-BGDĐT-BLĐTBXH-BTC </t>
  </si>
  <si>
    <t>TỔNG GIAO NGÂN SÁCH</t>
  </si>
  <si>
    <t>CÒN LẠI CHƯA PHÂN BỔ</t>
  </si>
  <si>
    <t>GIAO</t>
  </si>
  <si>
    <t>TRỪ TIẾT KIỆM</t>
  </si>
  <si>
    <t>CÒN NHẬN</t>
  </si>
  <si>
    <t>KHỐI MẦM NON</t>
  </si>
  <si>
    <t xml:space="preserve"> II </t>
  </si>
  <si>
    <t>KHỐI TIỂU HỌC</t>
  </si>
  <si>
    <t>KHỐI THCS</t>
  </si>
  <si>
    <t>Phòng Giáo dục</t>
  </si>
  <si>
    <t>Chi chung SNGD</t>
  </si>
  <si>
    <t>Hoạt động chung toàn ngành</t>
  </si>
  <si>
    <t>Thi đua khen thưởng</t>
  </si>
  <si>
    <t>TOÀN NGÀNH</t>
  </si>
  <si>
    <t>GIAO DỰ TOÁN CHI NGÂN SÁCH SỰ NGHIỆP GIÁO DỤC VÀ ĐÀO TẠO NĂM 2022</t>
  </si>
  <si>
    <t>C-L-K</t>
  </si>
  <si>
    <t>MÃ ĐV QHNS</t>
  </si>
  <si>
    <t>Giao chi thường xuyên</t>
  </si>
  <si>
    <t>Tổng NS cấp</t>
  </si>
  <si>
    <t>Biên chế (81%)</t>
  </si>
  <si>
    <t>Hợp đồng</t>
  </si>
  <si>
    <t>Chi hoạt động (19%)</t>
  </si>
  <si>
    <t>Hỗ trợ tiền ăn trẻ 3,4,5 tuổi theo NĐ 105/2020/NĐ-CP</t>
  </si>
  <si>
    <t>Cấp bù, miễn giảm học phí theo NĐ 81/2021/NĐ-CP</t>
  </si>
  <si>
    <t>Hỗ trợ chi phí học tập theo NĐ 81/2021/NĐ-CP</t>
  </si>
  <si>
    <t>Hỗ trợ học bổng học sinh khuyết tật theo TT liên tịch 42/2013/TTLT-BGDĐT-BLĐTBXH-BTC</t>
  </si>
  <si>
    <t>Kinh phí hỗ trợ dạy học 2 buổi/ngày</t>
  </si>
  <si>
    <t>Tổng chi thường xuyên</t>
  </si>
  <si>
    <t>Trường Mầm non Xuân Lam</t>
  </si>
  <si>
    <t>622-070-071</t>
  </si>
  <si>
    <t>Trường Mầm non Xuân Hồng</t>
  </si>
  <si>
    <t>Trường Mầm non Xuân An</t>
  </si>
  <si>
    <t>Trường Mầm non Xuân Giang</t>
  </si>
  <si>
    <t>Trường Mầm non TT Tiên Điền</t>
  </si>
  <si>
    <t>Trường Mầm non Xuân Yên</t>
  </si>
  <si>
    <t>Trường Mầm non Xuân Hải</t>
  </si>
  <si>
    <t>Trường Mầm non Xuân Phổ</t>
  </si>
  <si>
    <t>Trường Mầm non Đan Trường</t>
  </si>
  <si>
    <t>Trường Mầm non Xuân Hội</t>
  </si>
  <si>
    <t>Trường Mầm non Xuân Thành</t>
  </si>
  <si>
    <t>Trường Mầm non Xuân Mỹ</t>
  </si>
  <si>
    <t>Trường Mầm non Cổ Đạm</t>
  </si>
  <si>
    <t>Trường Mầm non Xuân Liên</t>
  </si>
  <si>
    <t xml:space="preserve">Trường Mầm non Cương Gián </t>
  </si>
  <si>
    <t>Trường Mầm non Xuân Lĩnh</t>
  </si>
  <si>
    <t>Trường Mầm non Xuân Viên</t>
  </si>
  <si>
    <t>Trường Tiểu học Xuân Lam</t>
  </si>
  <si>
    <t>622-070-072</t>
  </si>
  <si>
    <t xml:space="preserve">Trường Tiểu học Xuân Hồng </t>
  </si>
  <si>
    <t xml:space="preserve">Trường Tiểu học Xuân An </t>
  </si>
  <si>
    <t xml:space="preserve">Trường Tiểu học Xuân Giang </t>
  </si>
  <si>
    <t>Trường Tiểu học Xuân Viên</t>
  </si>
  <si>
    <t xml:space="preserve">Trường Tiểu học Xuân Mỹ </t>
  </si>
  <si>
    <t>Trường Tiểu học Xuân Thành</t>
  </si>
  <si>
    <t>Trường Tiểu học Cổ Đạm</t>
  </si>
  <si>
    <t>Trường Tiểu học Xuân Liên</t>
  </si>
  <si>
    <t>Trường Tiểu học Cương gián 1</t>
  </si>
  <si>
    <t>Trường Tiểu học Cương Gián 2</t>
  </si>
  <si>
    <t>Trường Tiểu học TT Tiên Điền</t>
  </si>
  <si>
    <t>Trường Tiểu học Xuân Yên</t>
  </si>
  <si>
    <t>Trường Tiểu học Xuân Hải</t>
  </si>
  <si>
    <t>Trường Tiểu học Xuân Phổ</t>
  </si>
  <si>
    <t>Trường Tiểu học Đan Trường</t>
  </si>
  <si>
    <t>Trường Tiểu học Xuân Hội</t>
  </si>
  <si>
    <t>Trường Trung học cơ sở Lam - Hồng</t>
  </si>
  <si>
    <t>622-070-073</t>
  </si>
  <si>
    <t>Trường Trung học cơ sở Xuân An</t>
  </si>
  <si>
    <t>Trường Trung học cơ sở Nguyễn Trãi</t>
  </si>
  <si>
    <t>Trường Trung học cơ sở Xuân Viên</t>
  </si>
  <si>
    <t>Trường Tiểu học và Trung học cơ sở Xuân Lĩnh</t>
  </si>
  <si>
    <t>Trường Trung học cơ sở Thành - Mỹ</t>
  </si>
  <si>
    <t>Trường Trung học cơ sở Hoa - Liên</t>
  </si>
  <si>
    <t>Trường Trung học cơ sở Cương Gián</t>
  </si>
  <si>
    <t>Trường Trung học cơ sở Tiên - Yên</t>
  </si>
  <si>
    <t>Trường Trung học cơ sở Phổ - Hải</t>
  </si>
  <si>
    <t>Trường Trung học cơ sở Đan - Trường - Hội</t>
  </si>
  <si>
    <t>Phòng Giáo dục&amp;Đào tạo - Chi chung</t>
  </si>
  <si>
    <t>622-070-098</t>
  </si>
  <si>
    <t>Phụ lục 07</t>
  </si>
  <si>
    <t>THUYẾT MINH 
NGUỒN CHƯA PHÂN BỔ SỰ NGHIỆP GIÁO DỤC VÀ ĐÀO TẠO NĂM 2023</t>
  </si>
  <si>
    <t>Số tiền</t>
  </si>
  <si>
    <t>Miễn giảm học phí và hỗ trợ chi phí học tập theo Nghị định số 81/2021/NĐ-CP</t>
  </si>
  <si>
    <t xml:space="preserve">Kinh phí bồi dưỡng giáo viên thể dục theo Quyết định số 51/2012/QĐ-UBND ngày 16/11/2012 của Thủ tướng Chính phủ </t>
  </si>
  <si>
    <t>Kinh phí bù dạy học 2 buổi/ngày</t>
  </si>
  <si>
    <t>Hỗ trợ giáo viên dạy trẻ khuyết tật theo Nghị định 25/2012/NĐ-CP</t>
  </si>
  <si>
    <t>Hỗ trợ trung tâm học tập cộng đồng</t>
  </si>
  <si>
    <t>Tiết kiệm chi 10% để CCTL</t>
  </si>
  <si>
    <t>Quỹ lương còn lại (gồm quỹ lương cân đối tăng giảm trong năm và kinh phí quỹ lương giáo viên chuyển ngạch theo Thông tư 01/2021/TT-BGDĐT ngày ngày 02/02/2021, Thông tư 02/2021/TT-BGDĐT ngày 02/02/2021, Thông tư 03/2021/TT-BGDĐT ngày 02/02/2021, phụ cấp ưu đãi giảm theo CV 2554/SNV-CCVC ngày 23/12/2021 của Sở Nội vụ) và các nhiệm vụ chi đột xuất trong năm</t>
  </si>
  <si>
    <t>Hỗ trợ tăng cường cơ sở vật chất các trường học trên địa bàn và các nhiệm vụ khác</t>
  </si>
  <si>
    <t>Phụ lục 08</t>
  </si>
  <si>
    <t>Phụ lục 09</t>
  </si>
  <si>
    <t>Chi nhiệm vụ An ninh (Trong đó: Ban phòng chống Ma túy và tội phạm 50tr; Công tác PCCC 30tr; Công tác bảo vệ bí mật nhà nước 26tr; Giao ban các ngành nội chính 20tr)</t>
  </si>
  <si>
    <t>Bổ sung, cập nhật giữ liệu Đảng viên 3.0</t>
  </si>
  <si>
    <t>Khám chữa bệnh: Phần Kp Sở Y tế cấp trong định mức (Mua sắm trang thiết bị y tế, sữa chữa cơ sở vật chất: 2,0 tỷ; Chi phí chỉ đạo tuyến 50tr; CS theo NQ số 71/2022/NQ-HĐND: 121,2tr )</t>
  </si>
  <si>
    <t>Sự nghiệp Giao thông + Hoạt động Ban ATGT 100trđ</t>
  </si>
  <si>
    <t>Hỗ trợ xây dựng NTM kiểu mẫu điển hình về VH, gắn với phát triển Du lịch; Hỗ trợ Đô thị văn minh</t>
  </si>
  <si>
    <t>Chế độ ngày công lao động (307trđ), tiền ăn (182trđ)</t>
  </si>
  <si>
    <t>Khởi công mới các dự án năm 2023</t>
  </si>
  <si>
    <t>Kp xây dựng chương trình, tuyên truyền NTM, Đô thị văn minh, các ngày lễ lớn, hoạt động khác (bao gồm cả thuê bao phần mềm tài sản)</t>
  </si>
  <si>
    <t>Chi các kỳ họp, hoạt động giám sát HĐND và chi hoạt động khác (bao gồm các nhiệm vụ quy định tại Nghị quyết số 82/2021/NQ-HĐND, thuê bao phần mềm kế toán và tài sản)</t>
  </si>
  <si>
    <t>Quỹ lương biên chế chưa tuyển dụng (6 biên chế)</t>
  </si>
  <si>
    <t>Chi hoạt động của UBND huyện (gồm hoạt động của Hội KHKT huyện, thuê bao phần mềm kế toán + tài sản)</t>
  </si>
  <si>
    <t>Quỹ lương biên chế chưa tuyển dụng (2 đối tượng)</t>
  </si>
  <si>
    <t>Hội liên hiệp thanh niên + Hội đồng đội</t>
  </si>
  <si>
    <t>Kinh phí chi hoạt động khác (bao gồm hoạt động hiến máu nhân đạo, phần mềm kế toán + phần mềm tài sản)</t>
  </si>
  <si>
    <t>Kinh phí chi hoạt động khác (bao gồm kinh phí các mô hình trình diễn, thuê bao phần mềm kế toán và tài sản)</t>
  </si>
  <si>
    <t>Kinh phí chi hoạt động khác (bao gồm thuê bao phần mềm kế toán + tài sản)</t>
  </si>
  <si>
    <t>Kinh phí thực hiện các đề án, chính sách do HĐND huyện ban hành và đối ứng các chính sách tỉnh ban hành; Hoạt động khai trương mùa Du lịch và Hỗ trợ các nhiệm vụ khác…</t>
  </si>
  <si>
    <t>Đo vẽ bản đồ và cấp giấy; kế hoạch sử dụng đất</t>
  </si>
  <si>
    <t>Nhà bộ môn và thư viện - Trường THCS TT Xuân An, huyện Nghi Xuân</t>
  </si>
  <si>
    <t>Khối nhà phục vụ sinh hoạt Trường Tiểu học Cổ Đạm, xã Cổ Đạm</t>
  </si>
  <si>
    <t>Cải tạo Hội trường Huyện ủy Nghi Xuân</t>
  </si>
  <si>
    <t>Hỗ trợ tham gia các hoạt động xây dựng NMT, đô thị văn minh cho các thôn, tổ dân phố; chế độ các đối tượng bán chuyên trách cấp xã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</si>
</sst>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_(* \(#,##0.00\);_(* &quot;-&quot;??_);_(@_)"/>
    <numFmt numFmtId="165" formatCode="_(* #,##0_);_(* \(#,##0\);_(* &quot;-&quot;??_);_(@_)"/>
    <numFmt numFmtId="166" formatCode="\(0\)"/>
    <numFmt numFmtId="167" formatCode="_(* #,##0.0_);_(* \(#,##0.0\);_(* &quot;-&quot;??_);_(@_)"/>
  </numFmts>
  <fonts count="32" x14ac:knownFonts="1">
    <font>
      <sz val="11"/>
      <color theme="1"/>
      <name val="Calibri"/>
      <family val="2"/>
      <scheme val="minor"/>
    </font>
    <font>
      <sz val="11"/>
      <color theme="1"/>
      <name val="Calibri"/>
      <family val="2"/>
      <charset val="163"/>
      <scheme val="minor"/>
    </font>
    <font>
      <sz val="11"/>
      <color theme="1"/>
      <name val="Calibri"/>
      <family val="2"/>
      <scheme val="minor"/>
    </font>
    <font>
      <sz val="11"/>
      <color indexed="8"/>
      <name val="Calibri"/>
      <family val="2"/>
    </font>
    <font>
      <b/>
      <sz val="11"/>
      <name val="Times New Roman"/>
      <family val="1"/>
    </font>
    <font>
      <sz val="10"/>
      <name val="Times New Roman"/>
      <family val="1"/>
    </font>
    <font>
      <sz val="8"/>
      <name val="Times New Roman"/>
      <family val="1"/>
    </font>
    <font>
      <b/>
      <u/>
      <sz val="11"/>
      <name val="Times New Roman"/>
      <family val="1"/>
    </font>
    <font>
      <b/>
      <sz val="10"/>
      <name val="Times New Roman"/>
      <family val="1"/>
    </font>
    <font>
      <sz val="12"/>
      <name val="Times New Roman"/>
      <family val="1"/>
    </font>
    <font>
      <b/>
      <sz val="12"/>
      <name val="Times New Roman"/>
      <family val="1"/>
    </font>
    <font>
      <i/>
      <sz val="12"/>
      <name val="Times New Roman"/>
      <family val="1"/>
    </font>
    <font>
      <i/>
      <sz val="10"/>
      <name val="Times New Roman"/>
      <family val="1"/>
    </font>
    <font>
      <b/>
      <sz val="8"/>
      <name val="Times New Roman"/>
      <family val="1"/>
    </font>
    <font>
      <sz val="11"/>
      <name val="Times New Roman"/>
      <family val="1"/>
    </font>
    <font>
      <b/>
      <i/>
      <sz val="12"/>
      <name val="Times New Roman"/>
      <family val="1"/>
    </font>
    <font>
      <b/>
      <sz val="13"/>
      <name val="Times New Roman"/>
      <family val="1"/>
    </font>
    <font>
      <i/>
      <sz val="11"/>
      <name val="Times New Roman"/>
      <family val="1"/>
    </font>
    <font>
      <b/>
      <i/>
      <sz val="11"/>
      <name val="Times New Roman"/>
      <family val="1"/>
    </font>
    <font>
      <i/>
      <sz val="13"/>
      <name val="Times New Roman"/>
      <family val="1"/>
    </font>
    <font>
      <i/>
      <sz val="8"/>
      <name val="Times New Roman"/>
      <family val="1"/>
    </font>
    <font>
      <sz val="12"/>
      <color theme="1"/>
      <name val="Times New Roman"/>
      <family val="1"/>
    </font>
    <font>
      <b/>
      <sz val="13"/>
      <color theme="1"/>
      <name val="Times New Roman"/>
      <family val="1"/>
    </font>
    <font>
      <i/>
      <sz val="13"/>
      <color theme="1"/>
      <name val="Times New Roman"/>
      <family val="1"/>
    </font>
    <font>
      <i/>
      <sz val="12"/>
      <color theme="1"/>
      <name val="Times New Roman"/>
      <family val="1"/>
    </font>
    <font>
      <sz val="10"/>
      <name val="Arial"/>
      <family val="2"/>
    </font>
    <font>
      <b/>
      <sz val="12"/>
      <color theme="1"/>
      <name val="Times New Roman"/>
      <family val="1"/>
    </font>
    <font>
      <sz val="12"/>
      <name val="Times New Roman"/>
      <family val="1"/>
      <charset val="163"/>
    </font>
    <font>
      <b/>
      <sz val="12"/>
      <name val="Times New Roman"/>
      <family val="1"/>
      <charset val="163"/>
    </font>
    <font>
      <sz val="12"/>
      <color theme="1"/>
      <name val="Calibri"/>
      <family val="2"/>
      <scheme val="minor"/>
    </font>
    <font>
      <b/>
      <sz val="14"/>
      <name val="Times New Roman"/>
      <family val="1"/>
    </font>
    <font>
      <b/>
      <u/>
      <sz val="10"/>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3" fontId="9" fillId="0" borderId="0">
      <alignment vertical="center" wrapText="1"/>
    </xf>
    <xf numFmtId="0" fontId="25" fillId="0" borderId="0"/>
    <xf numFmtId="0" fontId="29" fillId="0" borderId="0"/>
    <xf numFmtId="164" fontId="29" fillId="0" borderId="0" applyFont="0" applyFill="0" applyBorder="0" applyAlignment="0" applyProtection="0"/>
    <xf numFmtId="0" fontId="25" fillId="0" borderId="0"/>
    <xf numFmtId="0" fontId="9" fillId="0" borderId="0"/>
  </cellStyleXfs>
  <cellXfs count="308">
    <xf numFmtId="0" fontId="0" fillId="0" borderId="0" xfId="0"/>
    <xf numFmtId="0" fontId="9" fillId="2" borderId="0" xfId="0" applyFont="1" applyFill="1"/>
    <xf numFmtId="0" fontId="10" fillId="2" borderId="0" xfId="0" applyFont="1" applyFill="1"/>
    <xf numFmtId="3" fontId="9" fillId="0" borderId="0" xfId="0" applyNumberFormat="1" applyFont="1" applyAlignment="1">
      <alignment vertical="center"/>
    </xf>
    <xf numFmtId="3" fontId="9" fillId="0" borderId="0" xfId="0" applyNumberFormat="1" applyFont="1" applyAlignment="1">
      <alignment horizontal="center" vertical="center"/>
    </xf>
    <xf numFmtId="3" fontId="4" fillId="0" borderId="0" xfId="3" applyNumberFormat="1" applyFont="1" applyFill="1" applyAlignment="1">
      <alignment vertical="center"/>
    </xf>
    <xf numFmtId="3" fontId="9" fillId="2" borderId="0" xfId="0" applyNumberFormat="1" applyFont="1" applyFill="1" applyBorder="1" applyAlignment="1">
      <alignment vertical="center" wrapText="1"/>
    </xf>
    <xf numFmtId="3" fontId="9" fillId="2" borderId="0" xfId="0" applyNumberFormat="1" applyFont="1" applyFill="1" applyAlignment="1">
      <alignment vertical="center" wrapText="1"/>
    </xf>
    <xf numFmtId="3" fontId="11" fillId="2" borderId="0" xfId="0" applyNumberFormat="1" applyFont="1" applyFill="1" applyAlignment="1">
      <alignment vertical="center" wrapText="1"/>
    </xf>
    <xf numFmtId="9" fontId="11" fillId="2" borderId="0" xfId="2" applyFont="1" applyFill="1" applyAlignment="1">
      <alignment vertical="center" wrapText="1"/>
    </xf>
    <xf numFmtId="3" fontId="10" fillId="2" borderId="0" xfId="0" applyNumberFormat="1" applyFont="1" applyFill="1" applyAlignment="1">
      <alignment vertical="center" wrapText="1"/>
    </xf>
    <xf numFmtId="3" fontId="15" fillId="2" borderId="0" xfId="0" applyNumberFormat="1" applyFont="1" applyFill="1" applyAlignment="1">
      <alignment vertical="center" wrapText="1"/>
    </xf>
    <xf numFmtId="3" fontId="10"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0" fillId="2" borderId="6" xfId="1" applyNumberFormat="1" applyFont="1" applyFill="1" applyBorder="1" applyAlignment="1">
      <alignment horizontal="right" vertical="center" wrapText="1"/>
    </xf>
    <xf numFmtId="3" fontId="10" fillId="2" borderId="0" xfId="0" applyNumberFormat="1" applyFont="1" applyFill="1" applyAlignment="1">
      <alignment horizontal="left" vertical="center" wrapText="1"/>
    </xf>
    <xf numFmtId="3" fontId="9" fillId="2" borderId="6" xfId="0" applyNumberFormat="1" applyFont="1" applyFill="1" applyBorder="1" applyAlignment="1">
      <alignment horizontal="center" vertical="center" wrapText="1"/>
    </xf>
    <xf numFmtId="3" fontId="9" fillId="0" borderId="6" xfId="0" applyNumberFormat="1" applyFont="1" applyFill="1" applyBorder="1" applyAlignment="1">
      <alignment vertical="center" wrapText="1"/>
    </xf>
    <xf numFmtId="165" fontId="9" fillId="2" borderId="6" xfId="1" applyNumberFormat="1" applyFont="1" applyFill="1" applyBorder="1" applyAlignment="1">
      <alignment horizontal="right" vertical="center" wrapText="1"/>
    </xf>
    <xf numFmtId="165" fontId="9" fillId="2" borderId="6" xfId="1" applyNumberFormat="1" applyFont="1" applyFill="1" applyBorder="1" applyAlignment="1">
      <alignment vertical="center" wrapText="1"/>
    </xf>
    <xf numFmtId="165" fontId="11" fillId="2" borderId="6" xfId="1" applyNumberFormat="1" applyFont="1" applyFill="1" applyBorder="1" applyAlignment="1">
      <alignment horizontal="right" vertical="center" wrapText="1"/>
    </xf>
    <xf numFmtId="0" fontId="10" fillId="2" borderId="6" xfId="0" applyFont="1" applyFill="1" applyBorder="1" applyAlignment="1">
      <alignment vertical="center" wrapText="1"/>
    </xf>
    <xf numFmtId="0" fontId="10" fillId="2" borderId="0" xfId="0" applyFont="1" applyFill="1" applyAlignment="1">
      <alignment vertical="center" wrapText="1"/>
    </xf>
    <xf numFmtId="165" fontId="10" fillId="2" borderId="6" xfId="1" applyNumberFormat="1" applyFont="1" applyFill="1" applyBorder="1" applyAlignment="1">
      <alignment vertical="center" wrapText="1"/>
    </xf>
    <xf numFmtId="0" fontId="9" fillId="2" borderId="6" xfId="0" applyFont="1" applyFill="1" applyBorder="1" applyAlignment="1">
      <alignment vertical="center" wrapText="1"/>
    </xf>
    <xf numFmtId="3" fontId="10" fillId="2" borderId="6" xfId="0" applyNumberFormat="1" applyFont="1" applyFill="1" applyBorder="1" applyAlignment="1">
      <alignment horizontal="left" vertical="center" wrapText="1"/>
    </xf>
    <xf numFmtId="3" fontId="10" fillId="2" borderId="6" xfId="1" applyNumberFormat="1" applyFont="1" applyFill="1" applyBorder="1" applyAlignment="1">
      <alignment horizontal="right" vertical="center" wrapText="1"/>
    </xf>
    <xf numFmtId="3" fontId="9" fillId="2" borderId="6" xfId="0" applyNumberFormat="1" applyFont="1" applyFill="1" applyBorder="1" applyAlignment="1">
      <alignment vertical="center" wrapText="1"/>
    </xf>
    <xf numFmtId="3" fontId="9" fillId="2" borderId="6" xfId="1" applyNumberFormat="1" applyFont="1" applyFill="1" applyBorder="1" applyAlignment="1">
      <alignment vertical="center" wrapText="1"/>
    </xf>
    <xf numFmtId="3" fontId="10" fillId="2" borderId="6" xfId="0" applyNumberFormat="1" applyFont="1" applyFill="1" applyBorder="1" applyAlignment="1">
      <alignment vertical="center" wrapText="1"/>
    </xf>
    <xf numFmtId="3" fontId="10" fillId="2" borderId="6" xfId="1" applyNumberFormat="1" applyFont="1" applyFill="1" applyBorder="1" applyAlignment="1">
      <alignment vertical="center" wrapText="1"/>
    </xf>
    <xf numFmtId="3" fontId="11" fillId="2" borderId="0" xfId="0" applyNumberFormat="1" applyFont="1" applyFill="1" applyBorder="1" applyAlignment="1">
      <alignment vertical="center" wrapText="1"/>
    </xf>
    <xf numFmtId="3" fontId="9" fillId="2" borderId="12" xfId="0" applyNumberFormat="1" applyFont="1" applyFill="1" applyBorder="1" applyAlignment="1">
      <alignment vertical="center" wrapText="1"/>
    </xf>
    <xf numFmtId="0" fontId="4" fillId="2" borderId="0" xfId="0" applyFont="1" applyFill="1"/>
    <xf numFmtId="0" fontId="14" fillId="2" borderId="0" xfId="0" applyFont="1" applyFill="1"/>
    <xf numFmtId="0" fontId="4" fillId="2" borderId="0" xfId="0" applyFont="1" applyFill="1" applyAlignment="1">
      <alignment horizontal="left"/>
    </xf>
    <xf numFmtId="0" fontId="16" fillId="2" borderId="0" xfId="0" applyFont="1" applyFill="1"/>
    <xf numFmtId="165" fontId="9" fillId="2" borderId="0" xfId="1" applyNumberFormat="1" applyFont="1" applyFill="1"/>
    <xf numFmtId="0" fontId="18" fillId="2" borderId="0" xfId="0" applyFont="1" applyFill="1" applyAlignment="1">
      <alignment horizontal="left"/>
    </xf>
    <xf numFmtId="0" fontId="14" fillId="2" borderId="0" xfId="0" applyFont="1" applyFill="1" applyAlignment="1">
      <alignment horizontal="center"/>
    </xf>
    <xf numFmtId="0" fontId="4" fillId="2" borderId="6" xfId="0" applyFont="1" applyFill="1" applyBorder="1" applyAlignment="1">
      <alignment horizontal="center" vertical="center" wrapText="1"/>
    </xf>
    <xf numFmtId="0" fontId="4" fillId="2" borderId="6" xfId="0" applyFont="1" applyFill="1" applyBorder="1" applyAlignment="1">
      <alignment horizontal="center"/>
    </xf>
    <xf numFmtId="3" fontId="7" fillId="2" borderId="6" xfId="0" applyNumberFormat="1" applyFont="1" applyFill="1" applyBorder="1"/>
    <xf numFmtId="0" fontId="4" fillId="2" borderId="6" xfId="0" applyFont="1" applyFill="1" applyBorder="1"/>
    <xf numFmtId="0" fontId="4" fillId="2" borderId="13" xfId="0" applyFont="1" applyFill="1" applyBorder="1" applyAlignment="1">
      <alignment horizontal="center"/>
    </xf>
    <xf numFmtId="0" fontId="4" fillId="2" borderId="13" xfId="0" applyFont="1" applyFill="1" applyBorder="1"/>
    <xf numFmtId="0" fontId="14" fillId="2" borderId="8" xfId="0" applyFont="1" applyFill="1" applyBorder="1" applyAlignment="1">
      <alignment horizontal="center" vertical="center" wrapText="1"/>
    </xf>
    <xf numFmtId="0" fontId="14" fillId="2" borderId="8" xfId="0" applyFont="1" applyFill="1" applyBorder="1" applyAlignment="1">
      <alignment vertical="center" wrapText="1"/>
    </xf>
    <xf numFmtId="3" fontId="14" fillId="2" borderId="8" xfId="0" applyNumberFormat="1" applyFont="1" applyFill="1" applyBorder="1" applyAlignment="1">
      <alignment vertical="center" wrapText="1"/>
    </xf>
    <xf numFmtId="0" fontId="9" fillId="2" borderId="0" xfId="0" applyFont="1" applyFill="1" applyAlignment="1">
      <alignment vertical="center" wrapText="1"/>
    </xf>
    <xf numFmtId="3" fontId="14" fillId="2" borderId="8" xfId="0" applyNumberFormat="1" applyFont="1" applyFill="1" applyBorder="1"/>
    <xf numFmtId="0" fontId="14" fillId="2" borderId="8" xfId="0" applyFont="1" applyFill="1" applyBorder="1"/>
    <xf numFmtId="3" fontId="14" fillId="2" borderId="8" xfId="1" applyNumberFormat="1" applyFont="1" applyFill="1" applyBorder="1"/>
    <xf numFmtId="0" fontId="4" fillId="2" borderId="8" xfId="0" applyFont="1" applyFill="1" applyBorder="1" applyAlignment="1">
      <alignment horizontal="center"/>
    </xf>
    <xf numFmtId="0" fontId="4" fillId="2" borderId="8" xfId="0" applyFont="1" applyFill="1" applyBorder="1"/>
    <xf numFmtId="0" fontId="14" fillId="2" borderId="8" xfId="0" applyFont="1" applyFill="1" applyBorder="1" applyAlignment="1">
      <alignment horizontal="center"/>
    </xf>
    <xf numFmtId="3" fontId="4" fillId="2" borderId="8" xfId="0" applyNumberFormat="1" applyFont="1" applyFill="1" applyBorder="1"/>
    <xf numFmtId="0" fontId="11" fillId="2" borderId="0" xfId="0" applyFont="1" applyFill="1" applyAlignment="1">
      <alignment vertical="center" wrapText="1"/>
    </xf>
    <xf numFmtId="0" fontId="15" fillId="2" borderId="0" xfId="0" applyFont="1" applyFill="1" applyAlignment="1">
      <alignment vertical="center" wrapText="1"/>
    </xf>
    <xf numFmtId="0" fontId="17" fillId="2" borderId="8" xfId="0" applyFont="1" applyFill="1" applyBorder="1" applyAlignment="1">
      <alignment horizontal="center" vertical="center" wrapText="1"/>
    </xf>
    <xf numFmtId="0" fontId="18" fillId="2" borderId="8" xfId="0" applyFont="1" applyFill="1" applyBorder="1" applyAlignment="1">
      <alignment horizontal="center"/>
    </xf>
    <xf numFmtId="0" fontId="18" fillId="2" borderId="8" xfId="0" applyFont="1" applyFill="1" applyBorder="1"/>
    <xf numFmtId="3" fontId="18" fillId="2" borderId="8" xfId="0" applyNumberFormat="1" applyFont="1" applyFill="1" applyBorder="1" applyAlignment="1">
      <alignment vertical="center" wrapText="1"/>
    </xf>
    <xf numFmtId="0" fontId="15" fillId="2" borderId="0" xfId="0" applyFont="1" applyFill="1"/>
    <xf numFmtId="0" fontId="17" fillId="2" borderId="8" xfId="0" applyFont="1" applyFill="1" applyBorder="1" applyAlignment="1">
      <alignment horizontal="center"/>
    </xf>
    <xf numFmtId="0" fontId="17" fillId="2" borderId="8" xfId="0" applyFont="1" applyFill="1" applyBorder="1"/>
    <xf numFmtId="3" fontId="17" fillId="2" borderId="8" xfId="0" applyNumberFormat="1" applyFont="1" applyFill="1" applyBorder="1" applyAlignment="1">
      <alignment vertical="center" wrapText="1"/>
    </xf>
    <xf numFmtId="0" fontId="11" fillId="2" borderId="0" xfId="0" applyFont="1" applyFill="1"/>
    <xf numFmtId="0" fontId="17" fillId="2" borderId="8" xfId="0" applyFont="1" applyFill="1" applyBorder="1" applyAlignment="1">
      <alignment vertical="center" wrapText="1"/>
    </xf>
    <xf numFmtId="0" fontId="18" fillId="2" borderId="8" xfId="0" applyFont="1" applyFill="1" applyBorder="1" applyAlignment="1">
      <alignment vertical="center" wrapText="1"/>
    </xf>
    <xf numFmtId="3" fontId="18" fillId="2" borderId="8" xfId="0" applyNumberFormat="1" applyFont="1" applyFill="1" applyBorder="1"/>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3" fontId="4" fillId="2" borderId="8" xfId="0" applyNumberFormat="1" applyFont="1" applyFill="1" applyBorder="1" applyAlignment="1">
      <alignment vertical="center" wrapText="1"/>
    </xf>
    <xf numFmtId="0" fontId="14" fillId="2" borderId="0" xfId="0" applyFont="1" applyFill="1" applyAlignment="1">
      <alignment horizontal="center" vertical="center" wrapText="1"/>
    </xf>
    <xf numFmtId="0" fontId="18" fillId="2" borderId="0" xfId="0" applyFont="1" applyFill="1" applyAlignment="1">
      <alignment horizontal="left" vertical="center" wrapText="1"/>
    </xf>
    <xf numFmtId="0" fontId="4" fillId="2" borderId="0" xfId="0" applyFont="1" applyFill="1" applyAlignment="1">
      <alignment vertical="center" wrapText="1"/>
    </xf>
    <xf numFmtId="3" fontId="4" fillId="2" borderId="0" xfId="0" applyNumberFormat="1" applyFont="1" applyFill="1"/>
    <xf numFmtId="9" fontId="4" fillId="2" borderId="0" xfId="2" applyFont="1" applyFill="1"/>
    <xf numFmtId="3" fontId="14" fillId="2" borderId="0" xfId="0" applyNumberFormat="1" applyFont="1" applyFill="1"/>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3" fontId="4" fillId="2" borderId="13" xfId="0" applyNumberFormat="1" applyFont="1" applyFill="1" applyBorder="1"/>
    <xf numFmtId="3" fontId="17" fillId="2" borderId="8" xfId="0" applyNumberFormat="1" applyFont="1" applyFill="1" applyBorder="1"/>
    <xf numFmtId="3" fontId="4" fillId="2" borderId="9" xfId="0" applyNumberFormat="1" applyFont="1" applyFill="1" applyBorder="1" applyAlignment="1">
      <alignment vertical="center" wrapText="1"/>
    </xf>
    <xf numFmtId="3" fontId="16" fillId="0" borderId="0" xfId="0" applyNumberFormat="1" applyFont="1" applyAlignment="1">
      <alignment vertical="center"/>
    </xf>
    <xf numFmtId="3" fontId="19" fillId="0" borderId="0" xfId="0" applyNumberFormat="1" applyFont="1" applyAlignment="1">
      <alignment vertical="center"/>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20" fillId="2" borderId="6" xfId="0" applyFont="1" applyFill="1" applyBorder="1" applyAlignment="1">
      <alignment horizontal="center"/>
    </xf>
    <xf numFmtId="0" fontId="6" fillId="2" borderId="0" xfId="0" applyFont="1" applyFill="1"/>
    <xf numFmtId="0" fontId="5" fillId="2" borderId="6" xfId="0" applyFont="1" applyFill="1" applyBorder="1" applyAlignment="1">
      <alignment horizontal="center" vertical="center" wrapText="1"/>
    </xf>
    <xf numFmtId="0" fontId="5" fillId="2" borderId="6" xfId="0" applyFont="1" applyFill="1" applyBorder="1" applyAlignment="1">
      <alignment vertical="center" wrapText="1"/>
    </xf>
    <xf numFmtId="165" fontId="6" fillId="2" borderId="6" xfId="1" applyNumberFormat="1" applyFont="1" applyFill="1" applyBorder="1" applyAlignment="1">
      <alignment vertical="center" wrapText="1"/>
    </xf>
    <xf numFmtId="3" fontId="6" fillId="2" borderId="6" xfId="0" applyNumberFormat="1" applyFont="1" applyFill="1" applyBorder="1" applyAlignment="1">
      <alignment vertical="center" wrapText="1"/>
    </xf>
    <xf numFmtId="3" fontId="6" fillId="0" borderId="6" xfId="0" applyNumberFormat="1" applyFont="1" applyFill="1" applyBorder="1" applyAlignment="1">
      <alignment vertical="center" wrapText="1"/>
    </xf>
    <xf numFmtId="0" fontId="6" fillId="2" borderId="6" xfId="0" applyFont="1" applyFill="1" applyBorder="1" applyAlignment="1">
      <alignment vertical="center" wrapText="1"/>
    </xf>
    <xf numFmtId="0" fontId="13" fillId="2" borderId="6" xfId="0" applyFont="1" applyFill="1" applyBorder="1" applyAlignment="1">
      <alignment horizontal="center" vertical="center" wrapText="1"/>
    </xf>
    <xf numFmtId="165" fontId="13" fillId="2" borderId="6" xfId="1" applyNumberFormat="1" applyFont="1" applyFill="1" applyBorder="1" applyAlignment="1">
      <alignment vertical="center" wrapText="1"/>
    </xf>
    <xf numFmtId="3" fontId="21" fillId="0" borderId="0" xfId="0" applyNumberFormat="1" applyFont="1" applyAlignment="1">
      <alignment vertical="center"/>
    </xf>
    <xf numFmtId="0" fontId="10" fillId="0" borderId="0" xfId="5" applyFont="1" applyAlignment="1">
      <alignment vertical="center" wrapText="1"/>
    </xf>
    <xf numFmtId="0" fontId="10" fillId="0" borderId="6" xfId="5" applyFont="1" applyBorder="1" applyAlignment="1">
      <alignment horizontal="center" vertical="center" wrapText="1"/>
    </xf>
    <xf numFmtId="0" fontId="9" fillId="0" borderId="7" xfId="5" applyFont="1" applyBorder="1" applyAlignment="1">
      <alignment horizontal="center" vertical="center" wrapText="1"/>
    </xf>
    <xf numFmtId="0" fontId="9" fillId="0" borderId="7" xfId="0" applyFont="1" applyBorder="1" applyAlignment="1">
      <alignment vertical="center" wrapText="1"/>
    </xf>
    <xf numFmtId="3" fontId="9" fillId="0" borderId="7" xfId="5" applyNumberFormat="1" applyFont="1" applyBorder="1" applyAlignment="1">
      <alignment vertical="center" wrapText="1"/>
    </xf>
    <xf numFmtId="0" fontId="9" fillId="0" borderId="0" xfId="5" applyFont="1" applyAlignment="1">
      <alignment vertical="center" wrapText="1"/>
    </xf>
    <xf numFmtId="0" fontId="9" fillId="0" borderId="8" xfId="0" applyFont="1" applyBorder="1" applyAlignment="1">
      <alignment vertical="center" wrapText="1"/>
    </xf>
    <xf numFmtId="0" fontId="9" fillId="0" borderId="8" xfId="5" applyFont="1" applyBorder="1" applyAlignment="1">
      <alignment horizontal="center" vertical="center" wrapText="1"/>
    </xf>
    <xf numFmtId="3" fontId="9" fillId="0" borderId="8" xfId="5" applyNumberFormat="1" applyFont="1" applyBorder="1" applyAlignment="1">
      <alignment vertical="center" wrapText="1"/>
    </xf>
    <xf numFmtId="3" fontId="10" fillId="0" borderId="6" xfId="5" applyNumberFormat="1" applyFont="1" applyBorder="1" applyAlignment="1">
      <alignment vertical="center" wrapText="1"/>
    </xf>
    <xf numFmtId="3" fontId="26" fillId="0" borderId="0" xfId="0" applyNumberFormat="1" applyFont="1" applyAlignment="1">
      <alignment vertical="center"/>
    </xf>
    <xf numFmtId="3" fontId="26" fillId="0" borderId="0" xfId="0" applyNumberFormat="1" applyFont="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27" fillId="0" borderId="8" xfId="0" applyFont="1" applyFill="1" applyBorder="1" applyAlignment="1">
      <alignment horizontal="center" vertical="center" wrapText="1"/>
    </xf>
    <xf numFmtId="0" fontId="9" fillId="0" borderId="8" xfId="0" applyFont="1" applyBorder="1"/>
    <xf numFmtId="3" fontId="27" fillId="0" borderId="8" xfId="0" applyNumberFormat="1" applyFont="1" applyFill="1" applyBorder="1" applyAlignment="1">
      <alignment vertical="center" wrapText="1"/>
    </xf>
    <xf numFmtId="0" fontId="27" fillId="0" borderId="0" xfId="0" applyFont="1" applyFill="1" applyAlignment="1">
      <alignment horizontal="center" vertical="center" wrapText="1"/>
    </xf>
    <xf numFmtId="3" fontId="28" fillId="0" borderId="1"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0" fontId="28" fillId="0" borderId="0" xfId="0" applyFont="1" applyFill="1" applyAlignment="1">
      <alignment horizontal="center" vertical="center" wrapText="1"/>
    </xf>
    <xf numFmtId="3" fontId="11" fillId="2" borderId="6"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3" fontId="4" fillId="2" borderId="0" xfId="3" applyNumberFormat="1" applyFont="1" applyFill="1" applyAlignment="1">
      <alignment vertical="center"/>
    </xf>
    <xf numFmtId="0" fontId="14" fillId="2" borderId="8" xfId="0" applyFont="1" applyFill="1" applyBorder="1" applyAlignment="1">
      <alignment horizontal="left" vertical="center" wrapText="1"/>
    </xf>
    <xf numFmtId="3" fontId="14" fillId="2" borderId="8" xfId="0" applyNumberFormat="1" applyFont="1" applyFill="1" applyBorder="1" applyAlignment="1">
      <alignment horizontal="left" vertical="center" wrapText="1"/>
    </xf>
    <xf numFmtId="3" fontId="10" fillId="2" borderId="0" xfId="0" applyNumberFormat="1" applyFont="1" applyFill="1" applyAlignment="1">
      <alignment horizontal="center" vertical="center" wrapText="1"/>
    </xf>
    <xf numFmtId="0" fontId="4" fillId="2" borderId="6" xfId="0" applyFont="1" applyFill="1" applyBorder="1" applyAlignment="1">
      <alignment vertical="center" wrapText="1"/>
    </xf>
    <xf numFmtId="3" fontId="4" fillId="2" borderId="6" xfId="0" applyNumberFormat="1" applyFont="1" applyFill="1" applyBorder="1" applyAlignment="1">
      <alignment vertical="center" wrapText="1"/>
    </xf>
    <xf numFmtId="3" fontId="7" fillId="2" borderId="6" xfId="0" applyNumberFormat="1" applyFont="1" applyFill="1" applyBorder="1" applyAlignment="1">
      <alignment vertical="center" wrapText="1"/>
    </xf>
    <xf numFmtId="3" fontId="9" fillId="2" borderId="0" xfId="0" applyNumberFormat="1" applyFont="1" applyFill="1"/>
    <xf numFmtId="0" fontId="14" fillId="2" borderId="6" xfId="0" applyFont="1" applyFill="1" applyBorder="1" applyAlignment="1">
      <alignment horizontal="center" vertical="center" wrapText="1"/>
    </xf>
    <xf numFmtId="0" fontId="9" fillId="0" borderId="6" xfId="0" applyFont="1" applyBorder="1" applyAlignment="1">
      <alignment horizontal="left" vertical="center" wrapText="1"/>
    </xf>
    <xf numFmtId="3" fontId="5" fillId="2" borderId="0" xfId="3" applyNumberFormat="1" applyFont="1" applyFill="1" applyAlignment="1">
      <alignment horizontal="justify" vertical="center" wrapText="1"/>
    </xf>
    <xf numFmtId="9" fontId="6" fillId="2" borderId="0" xfId="3" applyNumberFormat="1" applyFont="1" applyFill="1" applyAlignment="1">
      <alignment horizontal="center" vertical="center"/>
    </xf>
    <xf numFmtId="3" fontId="5" fillId="2" borderId="0" xfId="3" applyNumberFormat="1" applyFont="1" applyFill="1" applyAlignment="1">
      <alignment vertical="center"/>
    </xf>
    <xf numFmtId="3" fontId="7" fillId="2" borderId="0" xfId="3" applyNumberFormat="1" applyFont="1" applyFill="1" applyAlignment="1">
      <alignment vertical="center"/>
    </xf>
    <xf numFmtId="3" fontId="8" fillId="2" borderId="0" xfId="3" applyNumberFormat="1" applyFont="1" applyFill="1" applyAlignment="1">
      <alignment vertical="center"/>
    </xf>
    <xf numFmtId="3" fontId="10" fillId="2" borderId="0" xfId="3" applyNumberFormat="1" applyFont="1" applyFill="1" applyAlignment="1">
      <alignment vertical="center"/>
    </xf>
    <xf numFmtId="0" fontId="11" fillId="2" borderId="0" xfId="0" applyFont="1" applyFill="1" applyAlignment="1">
      <alignment horizontal="center"/>
    </xf>
    <xf numFmtId="3" fontId="12" fillId="2" borderId="0" xfId="3" applyNumberFormat="1" applyFont="1" applyFill="1" applyBorder="1" applyAlignment="1">
      <alignment horizontal="center" vertical="center"/>
    </xf>
    <xf numFmtId="9" fontId="13" fillId="2" borderId="6" xfId="4" applyNumberFormat="1" applyFont="1" applyFill="1" applyBorder="1" applyAlignment="1">
      <alignment horizontal="center" vertical="center" wrapText="1"/>
    </xf>
    <xf numFmtId="3" fontId="13" fillId="2" borderId="6" xfId="4"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9" fontId="13" fillId="2" borderId="6" xfId="0" applyNumberFormat="1" applyFont="1" applyFill="1" applyBorder="1" applyAlignment="1">
      <alignment horizontal="center" vertical="center"/>
    </xf>
    <xf numFmtId="3" fontId="13" fillId="2" borderId="6" xfId="0" applyNumberFormat="1" applyFont="1" applyFill="1" applyBorder="1" applyAlignment="1">
      <alignment vertical="center"/>
    </xf>
    <xf numFmtId="3" fontId="9" fillId="2" borderId="0" xfId="0" applyNumberFormat="1" applyFont="1" applyFill="1" applyAlignment="1">
      <alignment vertical="center"/>
    </xf>
    <xf numFmtId="3" fontId="8" fillId="2" borderId="7" xfId="0" applyNumberFormat="1" applyFont="1" applyFill="1" applyBorder="1" applyAlignment="1">
      <alignment horizontal="center" vertical="center" wrapText="1"/>
    </xf>
    <xf numFmtId="3" fontId="8" fillId="2" borderId="7" xfId="0" applyNumberFormat="1" applyFont="1" applyFill="1" applyBorder="1" applyAlignment="1">
      <alignment vertical="center" wrapText="1"/>
    </xf>
    <xf numFmtId="9" fontId="13" fillId="2" borderId="7" xfId="0" applyNumberFormat="1" applyFont="1" applyFill="1" applyBorder="1" applyAlignment="1">
      <alignment horizontal="center" vertical="center"/>
    </xf>
    <xf numFmtId="3" fontId="13" fillId="2" borderId="7" xfId="0" applyNumberFormat="1" applyFont="1" applyFill="1" applyBorder="1" applyAlignment="1">
      <alignment vertical="center"/>
    </xf>
    <xf numFmtId="3" fontId="5" fillId="2" borderId="8" xfId="0" applyNumberFormat="1" applyFont="1" applyFill="1" applyBorder="1" applyAlignment="1">
      <alignment horizontal="center" vertical="center"/>
    </xf>
    <xf numFmtId="3" fontId="5" fillId="2" borderId="8" xfId="0" applyNumberFormat="1" applyFont="1" applyFill="1" applyBorder="1" applyAlignment="1">
      <alignment horizontal="justify" vertical="center" wrapText="1"/>
    </xf>
    <xf numFmtId="9" fontId="6" fillId="2" borderId="8" xfId="0" applyNumberFormat="1" applyFont="1" applyFill="1" applyBorder="1" applyAlignment="1">
      <alignment horizontal="center" vertical="center"/>
    </xf>
    <xf numFmtId="3" fontId="6" fillId="2" borderId="8" xfId="0" applyNumberFormat="1" applyFont="1" applyFill="1" applyBorder="1" applyAlignment="1">
      <alignment vertical="center"/>
    </xf>
    <xf numFmtId="3" fontId="5" fillId="2" borderId="8" xfId="4" applyFont="1" applyFill="1" applyBorder="1" applyAlignment="1">
      <alignment horizontal="center" vertical="center" wrapText="1"/>
    </xf>
    <xf numFmtId="3" fontId="5" fillId="2" borderId="8" xfId="4" applyFont="1" applyFill="1" applyBorder="1" applyAlignment="1">
      <alignment horizontal="justify" vertical="center" wrapText="1"/>
    </xf>
    <xf numFmtId="3" fontId="8" fillId="2" borderId="8" xfId="0" applyNumberFormat="1" applyFont="1" applyFill="1" applyBorder="1" applyAlignment="1">
      <alignment horizontal="center" vertical="center" wrapText="1"/>
    </xf>
    <xf numFmtId="3" fontId="8" fillId="2" borderId="8" xfId="0" applyNumberFormat="1" applyFont="1" applyFill="1" applyBorder="1" applyAlignment="1">
      <alignment vertical="center" wrapText="1"/>
    </xf>
    <xf numFmtId="9" fontId="13" fillId="2" borderId="8" xfId="0" applyNumberFormat="1" applyFont="1" applyFill="1" applyBorder="1" applyAlignment="1">
      <alignment horizontal="center" vertical="center"/>
    </xf>
    <xf numFmtId="3" fontId="13" fillId="2" borderId="8" xfId="0" applyNumberFormat="1" applyFont="1" applyFill="1" applyBorder="1" applyAlignment="1">
      <alignment vertical="center"/>
    </xf>
    <xf numFmtId="3" fontId="8" fillId="2" borderId="8" xfId="0" applyNumberFormat="1" applyFont="1" applyFill="1" applyBorder="1" applyAlignment="1">
      <alignment horizontal="center" vertical="center"/>
    </xf>
    <xf numFmtId="3" fontId="8" fillId="2" borderId="8" xfId="0" applyNumberFormat="1" applyFont="1" applyFill="1" applyBorder="1" applyAlignment="1">
      <alignment horizontal="justify" vertical="center" wrapText="1"/>
    </xf>
    <xf numFmtId="3" fontId="5" fillId="2" borderId="8" xfId="0" applyNumberFormat="1" applyFont="1" applyFill="1" applyBorder="1" applyAlignment="1">
      <alignment horizontal="center" vertical="center" wrapText="1"/>
    </xf>
    <xf numFmtId="3" fontId="5" fillId="2" borderId="8" xfId="0" applyNumberFormat="1" applyFont="1" applyFill="1" applyBorder="1" applyAlignment="1">
      <alignment vertical="center" wrapText="1"/>
    </xf>
    <xf numFmtId="3" fontId="31" fillId="2" borderId="8" xfId="0" applyNumberFormat="1" applyFont="1" applyFill="1" applyBorder="1" applyAlignment="1">
      <alignment horizontal="center" vertical="center" wrapText="1"/>
    </xf>
    <xf numFmtId="3" fontId="31" fillId="2" borderId="8" xfId="0" applyNumberFormat="1" applyFont="1" applyFill="1" applyBorder="1" applyAlignment="1">
      <alignment vertical="center" wrapText="1"/>
    </xf>
    <xf numFmtId="166" fontId="8" fillId="2" borderId="8" xfId="0" applyNumberFormat="1" applyFont="1" applyFill="1" applyBorder="1" applyAlignment="1">
      <alignment horizontal="center" vertical="center" wrapText="1"/>
    </xf>
    <xf numFmtId="3" fontId="10" fillId="2" borderId="0" xfId="0" applyNumberFormat="1" applyFont="1" applyFill="1" applyAlignment="1">
      <alignment vertical="center"/>
    </xf>
    <xf numFmtId="166" fontId="31" fillId="2" borderId="8" xfId="0" applyNumberFormat="1"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3" fontId="5" fillId="2" borderId="9" xfId="0" applyNumberFormat="1" applyFont="1" applyFill="1" applyBorder="1" applyAlignment="1">
      <alignment vertical="center" wrapText="1"/>
    </xf>
    <xf numFmtId="9" fontId="6" fillId="2" borderId="9" xfId="0" applyNumberFormat="1" applyFont="1" applyFill="1" applyBorder="1" applyAlignment="1">
      <alignment horizontal="center" vertical="center"/>
    </xf>
    <xf numFmtId="3" fontId="6" fillId="2" borderId="9" xfId="0" applyNumberFormat="1" applyFont="1" applyFill="1" applyBorder="1" applyAlignment="1">
      <alignment vertical="center"/>
    </xf>
    <xf numFmtId="0" fontId="14" fillId="2" borderId="0" xfId="3" applyFont="1" applyFill="1"/>
    <xf numFmtId="0" fontId="10" fillId="0" borderId="0" xfId="0" applyFont="1"/>
    <xf numFmtId="0" fontId="10" fillId="0" borderId="0" xfId="0" applyFont="1" applyAlignment="1"/>
    <xf numFmtId="0" fontId="9" fillId="0" borderId="0" xfId="0" applyFont="1"/>
    <xf numFmtId="0" fontId="10" fillId="0" borderId="0" xfId="0" applyFont="1" applyAlignment="1">
      <alignment horizontal="center"/>
    </xf>
    <xf numFmtId="0" fontId="11" fillId="0" borderId="0" xfId="0" applyFont="1" applyBorder="1" applyAlignment="1">
      <alignment horizont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3" fontId="10" fillId="0" borderId="6" xfId="1" applyNumberFormat="1" applyFont="1" applyBorder="1" applyAlignment="1">
      <alignment vertical="center" wrapText="1"/>
    </xf>
    <xf numFmtId="3" fontId="10" fillId="0" borderId="6" xfId="0" applyNumberFormat="1" applyFont="1" applyBorder="1" applyAlignment="1">
      <alignment vertical="center" wrapText="1"/>
    </xf>
    <xf numFmtId="167" fontId="10" fillId="0" borderId="6" xfId="1" applyNumberFormat="1" applyFont="1" applyBorder="1" applyAlignment="1">
      <alignment horizontal="center" vertical="center" wrapText="1"/>
    </xf>
    <xf numFmtId="3" fontId="9" fillId="0" borderId="6" xfId="0" applyNumberFormat="1" applyFont="1" applyBorder="1" applyAlignment="1">
      <alignment vertical="center" wrapText="1"/>
    </xf>
    <xf numFmtId="3" fontId="9" fillId="0" borderId="6" xfId="1" applyNumberFormat="1" applyFont="1" applyBorder="1" applyAlignment="1">
      <alignment vertical="center" wrapText="1"/>
    </xf>
    <xf numFmtId="0" fontId="9" fillId="0" borderId="6" xfId="0" applyFont="1" applyBorder="1" applyAlignment="1">
      <alignment horizontal="center" vertical="center" wrapText="1"/>
    </xf>
    <xf numFmtId="0" fontId="9" fillId="0" borderId="0" xfId="0" applyFont="1" applyAlignment="1">
      <alignment vertical="center" wrapText="1"/>
    </xf>
    <xf numFmtId="3" fontId="9" fillId="0" borderId="0" xfId="0" applyNumberFormat="1" applyFont="1"/>
    <xf numFmtId="165" fontId="9" fillId="0" borderId="0" xfId="1" applyNumberFormat="1" applyFont="1"/>
    <xf numFmtId="0" fontId="11" fillId="0" borderId="10" xfId="0" applyFont="1" applyBorder="1" applyAlignment="1">
      <alignment vertical="center" wrapText="1"/>
    </xf>
    <xf numFmtId="0" fontId="11" fillId="0" borderId="0" xfId="0" applyFont="1" applyBorder="1" applyAlignment="1">
      <alignment vertical="center" wrapText="1"/>
    </xf>
    <xf numFmtId="0" fontId="10" fillId="0" borderId="0" xfId="0" applyFont="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37" fontId="9" fillId="0" borderId="13" xfId="1" applyNumberFormat="1" applyFont="1" applyBorder="1" applyAlignment="1">
      <alignment vertical="center" wrapText="1"/>
    </xf>
    <xf numFmtId="3" fontId="9" fillId="0" borderId="13" xfId="0" applyNumberFormat="1" applyFont="1" applyBorder="1" applyAlignment="1">
      <alignment vertical="center" wrapText="1"/>
    </xf>
    <xf numFmtId="0" fontId="10" fillId="0" borderId="13" xfId="0" applyFont="1" applyBorder="1" applyAlignment="1">
      <alignment vertical="center" wrapText="1"/>
    </xf>
    <xf numFmtId="0" fontId="9" fillId="0" borderId="8" xfId="0" applyFont="1" applyBorder="1" applyAlignment="1">
      <alignment horizontal="center" vertical="center" wrapText="1"/>
    </xf>
    <xf numFmtId="37" fontId="9" fillId="0" borderId="8" xfId="1" applyNumberFormat="1" applyFont="1" applyBorder="1" applyAlignment="1">
      <alignment vertical="center" wrapText="1"/>
    </xf>
    <xf numFmtId="3" fontId="9" fillId="0" borderId="8" xfId="0" applyNumberFormat="1" applyFont="1" applyBorder="1" applyAlignment="1">
      <alignment vertical="center"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3" fontId="9" fillId="0" borderId="9" xfId="0" applyNumberFormat="1" applyFont="1" applyBorder="1" applyAlignment="1">
      <alignment vertical="center" wrapText="1"/>
    </xf>
    <xf numFmtId="37" fontId="9" fillId="0" borderId="9" xfId="1" applyNumberFormat="1" applyFont="1" applyBorder="1" applyAlignment="1">
      <alignment vertical="center" wrapText="1"/>
    </xf>
    <xf numFmtId="3" fontId="9" fillId="0" borderId="8" xfId="1" applyNumberFormat="1" applyFont="1" applyBorder="1" applyAlignment="1">
      <alignment vertical="center" wrapText="1"/>
    </xf>
    <xf numFmtId="0" fontId="9" fillId="0" borderId="8" xfId="0" applyFont="1" applyFill="1" applyBorder="1" applyAlignment="1">
      <alignment vertical="center" wrapText="1"/>
    </xf>
    <xf numFmtId="3" fontId="9" fillId="0" borderId="9" xfId="1" applyNumberFormat="1" applyFont="1" applyBorder="1" applyAlignment="1">
      <alignment vertical="center" wrapText="1"/>
    </xf>
    <xf numFmtId="0" fontId="10" fillId="0" borderId="0" xfId="0" applyFont="1" applyAlignment="1">
      <alignment vertical="center" wrapText="1"/>
    </xf>
    <xf numFmtId="0" fontId="11" fillId="0" borderId="10" xfId="0" applyFont="1" applyBorder="1" applyAlignment="1"/>
    <xf numFmtId="0" fontId="10" fillId="2" borderId="0" xfId="0" applyFont="1" applyFill="1" applyAlignment="1">
      <alignment horizontal="center"/>
    </xf>
    <xf numFmtId="0" fontId="9" fillId="2" borderId="13" xfId="0" applyFont="1" applyFill="1" applyBorder="1" applyAlignment="1">
      <alignment horizontal="center" vertical="center" wrapText="1"/>
    </xf>
    <xf numFmtId="0" fontId="9" fillId="2" borderId="13" xfId="0" applyFont="1" applyFill="1" applyBorder="1" applyAlignment="1">
      <alignment vertical="center" wrapText="1"/>
    </xf>
    <xf numFmtId="3" fontId="9" fillId="2" borderId="13" xfId="1" applyNumberFormat="1"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3" fontId="9" fillId="2" borderId="8" xfId="1" applyNumberFormat="1" applyFont="1" applyFill="1" applyBorder="1" applyAlignment="1">
      <alignment vertical="center" wrapText="1"/>
    </xf>
    <xf numFmtId="0" fontId="10" fillId="2" borderId="0" xfId="0" applyFont="1" applyFill="1" applyBorder="1" applyAlignment="1">
      <alignment horizontal="center" vertical="center" wrapText="1"/>
    </xf>
    <xf numFmtId="0" fontId="10" fillId="2" borderId="14" xfId="0" applyFont="1" applyFill="1" applyBorder="1" applyAlignment="1">
      <alignment horizontal="center" vertical="center" wrapText="1"/>
    </xf>
    <xf numFmtId="3" fontId="10" fillId="2" borderId="14" xfId="0" applyNumberFormat="1" applyFont="1" applyFill="1" applyBorder="1" applyAlignment="1">
      <alignment vertical="center" wrapText="1"/>
    </xf>
    <xf numFmtId="0" fontId="9" fillId="2" borderId="0" xfId="0" applyFont="1" applyFill="1" applyBorder="1"/>
    <xf numFmtId="3" fontId="4" fillId="2" borderId="15" xfId="0" applyNumberFormat="1" applyFont="1" applyFill="1" applyBorder="1" applyAlignment="1">
      <alignment vertical="center" wrapText="1"/>
    </xf>
    <xf numFmtId="0" fontId="4" fillId="2" borderId="15" xfId="0" applyFont="1" applyFill="1" applyBorder="1" applyAlignment="1">
      <alignment horizontal="center" vertical="center" wrapText="1"/>
    </xf>
    <xf numFmtId="0" fontId="10" fillId="2" borderId="6" xfId="6" applyFont="1" applyFill="1" applyBorder="1" applyAlignment="1">
      <alignment vertical="center" wrapText="1"/>
    </xf>
    <xf numFmtId="37" fontId="10" fillId="2" borderId="6" xfId="7" applyNumberFormat="1" applyFont="1" applyFill="1" applyBorder="1" applyAlignment="1">
      <alignment horizontal="right" vertical="center" wrapText="1"/>
    </xf>
    <xf numFmtId="3" fontId="10" fillId="2" borderId="6" xfId="7" applyNumberFormat="1" applyFont="1" applyFill="1" applyBorder="1" applyAlignment="1">
      <alignment horizontal="right" vertical="center" wrapText="1"/>
    </xf>
    <xf numFmtId="1" fontId="10" fillId="2" borderId="6" xfId="8" applyNumberFormat="1" applyFont="1" applyFill="1" applyBorder="1" applyAlignment="1">
      <alignment vertical="center" wrapText="1"/>
    </xf>
    <xf numFmtId="1" fontId="9" fillId="2" borderId="6" xfId="8" applyNumberFormat="1" applyFont="1" applyFill="1" applyBorder="1" applyAlignment="1">
      <alignment vertical="center" wrapText="1"/>
    </xf>
    <xf numFmtId="37" fontId="9" fillId="2" borderId="6" xfId="7" applyNumberFormat="1" applyFont="1" applyFill="1" applyBorder="1" applyAlignment="1">
      <alignment horizontal="right" vertical="center" wrapText="1"/>
    </xf>
    <xf numFmtId="3" fontId="9" fillId="2" borderId="6" xfId="7" applyNumberFormat="1" applyFont="1" applyFill="1" applyBorder="1" applyAlignment="1">
      <alignment horizontal="right" vertical="center" wrapText="1"/>
    </xf>
    <xf numFmtId="1" fontId="9" fillId="2" borderId="6" xfId="8" applyNumberFormat="1" applyFont="1" applyFill="1" applyBorder="1" applyAlignment="1">
      <alignment horizontal="justify" vertical="center" wrapText="1"/>
    </xf>
    <xf numFmtId="0" fontId="9" fillId="2" borderId="6" xfId="0" applyFont="1" applyFill="1" applyBorder="1" applyAlignment="1">
      <alignment horizontal="left" vertical="center" wrapText="1"/>
    </xf>
    <xf numFmtId="0" fontId="9" fillId="2" borderId="6" xfId="0" applyFont="1" applyFill="1" applyBorder="1" applyAlignment="1">
      <alignment horizontal="justify" vertical="center" wrapText="1"/>
    </xf>
    <xf numFmtId="0" fontId="9" fillId="2" borderId="6" xfId="8" applyFont="1" applyFill="1" applyBorder="1" applyAlignment="1">
      <alignment horizontal="left" vertical="center" wrapText="1"/>
    </xf>
    <xf numFmtId="0" fontId="10" fillId="2" borderId="6" xfId="0" applyFont="1" applyFill="1" applyBorder="1" applyAlignment="1">
      <alignment horizontal="justify" vertical="center" wrapText="1"/>
    </xf>
    <xf numFmtId="0" fontId="14" fillId="2" borderId="8" xfId="9" applyFont="1" applyFill="1" applyBorder="1" applyAlignment="1">
      <alignment vertical="center" wrapText="1"/>
    </xf>
    <xf numFmtId="3" fontId="14" fillId="2" borderId="6" xfId="0" applyNumberFormat="1" applyFont="1" applyFill="1" applyBorder="1" applyAlignment="1">
      <alignment vertical="center" wrapText="1"/>
    </xf>
    <xf numFmtId="0" fontId="9" fillId="0" borderId="6" xfId="0" applyFont="1" applyFill="1" applyBorder="1" applyAlignment="1">
      <alignment horizontal="justify" vertical="center" wrapText="1"/>
    </xf>
    <xf numFmtId="0" fontId="4" fillId="2" borderId="0" xfId="0" applyFont="1" applyFill="1" applyAlignment="1">
      <alignment horizontal="center"/>
    </xf>
    <xf numFmtId="0" fontId="17" fillId="2" borderId="0" xfId="0" applyFont="1" applyFill="1" applyAlignment="1">
      <alignment horizontal="center"/>
    </xf>
    <xf numFmtId="1" fontId="9" fillId="0" borderId="6" xfId="8" applyNumberFormat="1" applyFont="1" applyFill="1" applyBorder="1" applyAlignment="1">
      <alignment horizontal="justify" vertical="center" wrapText="1"/>
    </xf>
    <xf numFmtId="3" fontId="10" fillId="2" borderId="0" xfId="0" applyNumberFormat="1" applyFont="1" applyFill="1" applyAlignment="1">
      <alignment horizontal="center" vertical="center" wrapText="1"/>
    </xf>
    <xf numFmtId="3" fontId="10" fillId="2" borderId="6" xfId="0" applyNumberFormat="1"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165" fontId="10" fillId="2" borderId="0" xfId="1" applyNumberFormat="1" applyFont="1" applyFill="1" applyAlignment="1">
      <alignment horizontal="center" vertical="center" wrapText="1"/>
    </xf>
    <xf numFmtId="0" fontId="9" fillId="2" borderId="6"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0" xfId="0" applyNumberFormat="1" applyFont="1" applyFill="1" applyAlignment="1">
      <alignment horizontal="center" vertical="center" wrapText="1"/>
    </xf>
    <xf numFmtId="9" fontId="30" fillId="2" borderId="0" xfId="3" applyNumberFormat="1" applyFont="1" applyFill="1" applyBorder="1" applyAlignment="1">
      <alignment horizontal="center" vertical="center"/>
    </xf>
    <xf numFmtId="3" fontId="10" fillId="2" borderId="0" xfId="3" applyNumberFormat="1" applyFont="1" applyFill="1" applyAlignment="1">
      <alignment horizontal="center" vertical="center"/>
    </xf>
    <xf numFmtId="3" fontId="11" fillId="2" borderId="0" xfId="0" applyNumberFormat="1" applyFont="1" applyFill="1" applyAlignment="1">
      <alignment horizontal="center"/>
    </xf>
    <xf numFmtId="0" fontId="11" fillId="2" borderId="0" xfId="0" applyFont="1" applyFill="1" applyAlignment="1">
      <alignment horizontal="center"/>
    </xf>
    <xf numFmtId="3" fontId="12" fillId="2" borderId="0" xfId="3" applyNumberFormat="1" applyFont="1" applyFill="1" applyBorder="1" applyAlignment="1">
      <alignment horizontal="center" vertical="center"/>
    </xf>
    <xf numFmtId="3" fontId="8" fillId="2" borderId="3"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9" fontId="13" fillId="2" borderId="1" xfId="4" applyNumberFormat="1" applyFont="1" applyFill="1" applyBorder="1" applyAlignment="1">
      <alignment horizontal="center" vertical="center" wrapText="1"/>
    </xf>
    <xf numFmtId="9" fontId="13" fillId="2" borderId="4" xfId="4" applyNumberFormat="1" applyFont="1" applyFill="1" applyBorder="1" applyAlignment="1">
      <alignment horizontal="center" vertical="center" wrapText="1"/>
    </xf>
    <xf numFmtId="9" fontId="13" fillId="2" borderId="2" xfId="4" applyNumberFormat="1" applyFont="1" applyFill="1" applyBorder="1" applyAlignment="1">
      <alignment horizontal="center" vertical="center" wrapText="1"/>
    </xf>
    <xf numFmtId="3" fontId="13" fillId="2" borderId="3" xfId="0" applyNumberFormat="1" applyFont="1" applyFill="1" applyBorder="1" applyAlignment="1">
      <alignment horizontal="center" vertical="center" wrapText="1"/>
    </xf>
    <xf numFmtId="3" fontId="13" fillId="2" borderId="5" xfId="0" applyNumberFormat="1" applyFont="1" applyFill="1" applyBorder="1" applyAlignment="1">
      <alignment horizontal="center" vertical="center" wrapText="1"/>
    </xf>
    <xf numFmtId="3" fontId="13" fillId="2" borderId="1" xfId="4" applyFont="1" applyFill="1" applyBorder="1" applyAlignment="1">
      <alignment horizontal="center" vertical="center" wrapText="1"/>
    </xf>
    <xf numFmtId="3" fontId="13" fillId="2" borderId="4" xfId="4" applyFont="1" applyFill="1" applyBorder="1" applyAlignment="1">
      <alignment horizontal="center" vertical="center" wrapText="1"/>
    </xf>
    <xf numFmtId="3" fontId="13" fillId="2" borderId="2" xfId="4"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xf>
    <xf numFmtId="3" fontId="17" fillId="2" borderId="0" xfId="0" applyNumberFormat="1" applyFont="1" applyFill="1" applyAlignment="1">
      <alignment horizontal="center"/>
    </xf>
    <xf numFmtId="0" fontId="17" fillId="2" borderId="0" xfId="0" applyFont="1" applyFill="1" applyAlignment="1">
      <alignment horizontal="center"/>
    </xf>
    <xf numFmtId="3" fontId="16" fillId="0" borderId="0" xfId="0" applyNumberFormat="1" applyFont="1" applyAlignment="1">
      <alignment horizontal="center" vertical="center"/>
    </xf>
    <xf numFmtId="3" fontId="11" fillId="0" borderId="10" xfId="0" applyNumberFormat="1" applyFont="1" applyBorder="1" applyAlignment="1">
      <alignment horizontal="right" vertical="center"/>
    </xf>
    <xf numFmtId="3" fontId="19" fillId="0" borderId="0" xfId="0" applyNumberFormat="1" applyFont="1" applyAlignment="1">
      <alignment horizontal="center" vertical="center"/>
    </xf>
    <xf numFmtId="0" fontId="10" fillId="0" borderId="1" xfId="5" applyFont="1" applyBorder="1" applyAlignment="1">
      <alignment horizontal="center" vertical="center" wrapText="1"/>
    </xf>
    <xf numFmtId="0" fontId="10" fillId="0" borderId="2" xfId="5" applyFont="1" applyBorder="1" applyAlignment="1">
      <alignment horizontal="center" vertical="center" wrapText="1"/>
    </xf>
    <xf numFmtId="3" fontId="22" fillId="0" borderId="0" xfId="0" applyNumberFormat="1" applyFont="1" applyAlignment="1">
      <alignment horizontal="center" vertical="center"/>
    </xf>
    <xf numFmtId="3" fontId="23" fillId="0" borderId="0" xfId="0" applyNumberFormat="1" applyFont="1" applyAlignment="1">
      <alignment horizontal="center" vertical="center"/>
    </xf>
    <xf numFmtId="3" fontId="24" fillId="0" borderId="10" xfId="0" applyNumberFormat="1" applyFont="1" applyBorder="1" applyAlignment="1">
      <alignment horizontal="center" vertical="center"/>
    </xf>
    <xf numFmtId="0" fontId="10" fillId="0" borderId="6" xfId="5" applyFont="1" applyBorder="1" applyAlignment="1">
      <alignment horizontal="center" vertical="center" wrapText="1"/>
    </xf>
    <xf numFmtId="0" fontId="28"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3" fontId="11" fillId="0" borderId="0" xfId="0" applyNumberFormat="1" applyFont="1" applyAlignment="1">
      <alignment horizontal="center"/>
    </xf>
    <xf numFmtId="0" fontId="11" fillId="0" borderId="0" xfId="0" applyFont="1" applyAlignment="1">
      <alignment horizontal="center"/>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xf numFmtId="0" fontId="10" fillId="0" borderId="0" xfId="0" applyFont="1" applyAlignment="1">
      <alignment horizontal="center"/>
    </xf>
    <xf numFmtId="0" fontId="10" fillId="0" borderId="0" xfId="0" applyFont="1" applyAlignment="1">
      <alignment horizontal="center" vertical="center" wrapText="1"/>
    </xf>
    <xf numFmtId="0" fontId="11" fillId="0" borderId="10" xfId="0" applyFont="1" applyBorder="1" applyAlignment="1">
      <alignment horizontal="center" vertical="center"/>
    </xf>
    <xf numFmtId="3"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0" fillId="2" borderId="0" xfId="0" applyFont="1" applyFill="1" applyAlignment="1">
      <alignment horizontal="center" wrapText="1"/>
    </xf>
    <xf numFmtId="0" fontId="10" fillId="2" borderId="0" xfId="0" applyFont="1" applyFill="1" applyAlignment="1">
      <alignment horizontal="center"/>
    </xf>
    <xf numFmtId="3" fontId="11" fillId="2" borderId="0" xfId="0" applyNumberFormat="1" applyFont="1" applyFill="1" applyAlignment="1">
      <alignment horizontal="center" wrapText="1"/>
    </xf>
    <xf numFmtId="0" fontId="11" fillId="2" borderId="10" xfId="0" applyFont="1" applyFill="1" applyBorder="1" applyAlignment="1">
      <alignment horizontal="right"/>
    </xf>
  </cellXfs>
  <cellStyles count="10">
    <cellStyle name="Comma" xfId="1" builtinId="3"/>
    <cellStyle name="Comma 29" xfId="7"/>
    <cellStyle name="Normal" xfId="0" builtinId="0"/>
    <cellStyle name="Normal 14" xfId="4"/>
    <cellStyle name="Normal 2" xfId="5"/>
    <cellStyle name="Normal 3" xfId="9"/>
    <cellStyle name="Normal 34" xfId="6"/>
    <cellStyle name="Normal_Bieu mau (CV ) 2 2" xfId="8"/>
    <cellStyle name="Normal_Sheet1" xfId="3"/>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414867</xdr:colOff>
      <xdr:row>2</xdr:row>
      <xdr:rowOff>20110</xdr:rowOff>
    </xdr:from>
    <xdr:to>
      <xdr:col>1</xdr:col>
      <xdr:colOff>467784</xdr:colOff>
      <xdr:row>2</xdr:row>
      <xdr:rowOff>20110</xdr:rowOff>
    </xdr:to>
    <xdr:cxnSp macro="">
      <xdr:nvCxnSpPr>
        <xdr:cNvPr id="4" name="Straight Connector 3"/>
        <xdr:cNvCxnSpPr/>
      </xdr:nvCxnSpPr>
      <xdr:spPr>
        <a:xfrm>
          <a:off x="414867" y="420160"/>
          <a:ext cx="5101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1221316</xdr:colOff>
      <xdr:row>0</xdr:row>
      <xdr:rowOff>32808</xdr:rowOff>
    </xdr:from>
    <xdr:to>
      <xdr:col>1</xdr:col>
      <xdr:colOff>2217778</xdr:colOff>
      <xdr:row>1</xdr:row>
      <xdr:rowOff>129117</xdr:rowOff>
    </xdr:to>
    <xdr:sp macro="" textlink="">
      <xdr:nvSpPr>
        <xdr:cNvPr id="5" name="Rectangle 4"/>
        <xdr:cNvSpPr/>
      </xdr:nvSpPr>
      <xdr:spPr>
        <a:xfrm>
          <a:off x="1678516" y="32808"/>
          <a:ext cx="996462" cy="2963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414867</xdr:colOff>
      <xdr:row>2</xdr:row>
      <xdr:rowOff>20110</xdr:rowOff>
    </xdr:from>
    <xdr:to>
      <xdr:col>1</xdr:col>
      <xdr:colOff>467784</xdr:colOff>
      <xdr:row>2</xdr:row>
      <xdr:rowOff>20110</xdr:rowOff>
    </xdr:to>
    <xdr:cxnSp macro="">
      <xdr:nvCxnSpPr>
        <xdr:cNvPr id="2" name="Straight Connector 1"/>
        <xdr:cNvCxnSpPr/>
      </xdr:nvCxnSpPr>
      <xdr:spPr>
        <a:xfrm>
          <a:off x="414867" y="4582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1173691</xdr:colOff>
      <xdr:row>0</xdr:row>
      <xdr:rowOff>175683</xdr:rowOff>
    </xdr:from>
    <xdr:to>
      <xdr:col>1</xdr:col>
      <xdr:colOff>2074903</xdr:colOff>
      <xdr:row>2</xdr:row>
      <xdr:rowOff>71967</xdr:rowOff>
    </xdr:to>
    <xdr:sp macro="" textlink="">
      <xdr:nvSpPr>
        <xdr:cNvPr id="3" name="Rectangle 2"/>
        <xdr:cNvSpPr/>
      </xdr:nvSpPr>
      <xdr:spPr>
        <a:xfrm>
          <a:off x="1592791" y="175683"/>
          <a:ext cx="863112" cy="3344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twoCellAnchor>
    <xdr:from>
      <xdr:col>2</xdr:col>
      <xdr:colOff>247650</xdr:colOff>
      <xdr:row>5</xdr:row>
      <xdr:rowOff>30480</xdr:rowOff>
    </xdr:from>
    <xdr:to>
      <xdr:col>5</xdr:col>
      <xdr:colOff>323850</xdr:colOff>
      <xdr:row>5</xdr:row>
      <xdr:rowOff>32068</xdr:rowOff>
    </xdr:to>
    <xdr:cxnSp macro="">
      <xdr:nvCxnSpPr>
        <xdr:cNvPr id="5" name="Straight Connector 4"/>
        <xdr:cNvCxnSpPr/>
      </xdr:nvCxnSpPr>
      <xdr:spPr>
        <a:xfrm>
          <a:off x="2705100" y="1068705"/>
          <a:ext cx="14954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414867</xdr:colOff>
      <xdr:row>2</xdr:row>
      <xdr:rowOff>20110</xdr:rowOff>
    </xdr:from>
    <xdr:to>
      <xdr:col>1</xdr:col>
      <xdr:colOff>467784</xdr:colOff>
      <xdr:row>2</xdr:row>
      <xdr:rowOff>20110</xdr:rowOff>
    </xdr:to>
    <xdr:cxnSp macro="">
      <xdr:nvCxnSpPr>
        <xdr:cNvPr id="2" name="Straight Connector 1"/>
        <xdr:cNvCxnSpPr/>
      </xdr:nvCxnSpPr>
      <xdr:spPr>
        <a:xfrm>
          <a:off x="414867" y="420160"/>
          <a:ext cx="5101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4" name="Straight Connector 3"/>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5" name="Straight Connector 4"/>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1228725</xdr:colOff>
      <xdr:row>0</xdr:row>
      <xdr:rowOff>76200</xdr:rowOff>
    </xdr:from>
    <xdr:to>
      <xdr:col>1</xdr:col>
      <xdr:colOff>2225187</xdr:colOff>
      <xdr:row>1</xdr:row>
      <xdr:rowOff>161925</xdr:rowOff>
    </xdr:to>
    <xdr:sp macro="" textlink="">
      <xdr:nvSpPr>
        <xdr:cNvPr id="6" name="Rectangle 5"/>
        <xdr:cNvSpPr/>
      </xdr:nvSpPr>
      <xdr:spPr>
        <a:xfrm>
          <a:off x="1628775" y="76200"/>
          <a:ext cx="996462" cy="285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twoCellAnchor>
    <xdr:from>
      <xdr:col>0</xdr:col>
      <xdr:colOff>414867</xdr:colOff>
      <xdr:row>2</xdr:row>
      <xdr:rowOff>20110</xdr:rowOff>
    </xdr:from>
    <xdr:to>
      <xdr:col>1</xdr:col>
      <xdr:colOff>467784</xdr:colOff>
      <xdr:row>2</xdr:row>
      <xdr:rowOff>20110</xdr:rowOff>
    </xdr:to>
    <xdr:cxnSp macro="">
      <xdr:nvCxnSpPr>
        <xdr:cNvPr id="7" name="Straight Connector 6"/>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8" name="Straight Connector 7"/>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9" name="Straight Connector 8"/>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10" name="Straight Connector 9"/>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11" name="Straight Connector 10"/>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414867</xdr:colOff>
      <xdr:row>2</xdr:row>
      <xdr:rowOff>20110</xdr:rowOff>
    </xdr:from>
    <xdr:to>
      <xdr:col>1</xdr:col>
      <xdr:colOff>467784</xdr:colOff>
      <xdr:row>2</xdr:row>
      <xdr:rowOff>20110</xdr:rowOff>
    </xdr:to>
    <xdr:cxnSp macro="">
      <xdr:nvCxnSpPr>
        <xdr:cNvPr id="12" name="Straight Connector 11"/>
        <xdr:cNvCxnSpPr/>
      </xdr:nvCxnSpPr>
      <xdr:spPr>
        <a:xfrm>
          <a:off x="395817" y="420160"/>
          <a:ext cx="4720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2</xdr:row>
      <xdr:rowOff>9525</xdr:rowOff>
    </xdr:from>
    <xdr:to>
      <xdr:col>1</xdr:col>
      <xdr:colOff>514350</xdr:colOff>
      <xdr:row>2</xdr:row>
      <xdr:rowOff>9525</xdr:rowOff>
    </xdr:to>
    <xdr:cxnSp macro="">
      <xdr:nvCxnSpPr>
        <xdr:cNvPr id="2" name="Straight Connector 1"/>
        <xdr:cNvCxnSpPr/>
      </xdr:nvCxnSpPr>
      <xdr:spPr>
        <a:xfrm>
          <a:off x="381000" y="476250"/>
          <a:ext cx="590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0</xdr:rowOff>
    </xdr:from>
    <xdr:to>
      <xdr:col>3</xdr:col>
      <xdr:colOff>205887</xdr:colOff>
      <xdr:row>1</xdr:row>
      <xdr:rowOff>85725</xdr:rowOff>
    </xdr:to>
    <xdr:sp macro="" textlink="">
      <xdr:nvSpPr>
        <xdr:cNvPr id="3" name="Rectangle 2"/>
        <xdr:cNvSpPr/>
      </xdr:nvSpPr>
      <xdr:spPr>
        <a:xfrm>
          <a:off x="1990725" y="0"/>
          <a:ext cx="996462"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996462</xdr:colOff>
      <xdr:row>1</xdr:row>
      <xdr:rowOff>85725</xdr:rowOff>
    </xdr:to>
    <xdr:sp macro="" textlink="">
      <xdr:nvSpPr>
        <xdr:cNvPr id="2" name="Rectangle 1"/>
        <xdr:cNvSpPr/>
      </xdr:nvSpPr>
      <xdr:spPr>
        <a:xfrm>
          <a:off x="1895475" y="0"/>
          <a:ext cx="996462"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twoCellAnchor>
    <xdr:from>
      <xdr:col>0</xdr:col>
      <xdr:colOff>342900</xdr:colOff>
      <xdr:row>2</xdr:row>
      <xdr:rowOff>9525</xdr:rowOff>
    </xdr:from>
    <xdr:to>
      <xdr:col>1</xdr:col>
      <xdr:colOff>466725</xdr:colOff>
      <xdr:row>2</xdr:row>
      <xdr:rowOff>9525</xdr:rowOff>
    </xdr:to>
    <xdr:cxnSp macro="">
      <xdr:nvCxnSpPr>
        <xdr:cNvPr id="3" name="Straight Connector 2"/>
        <xdr:cNvCxnSpPr/>
      </xdr:nvCxnSpPr>
      <xdr:spPr>
        <a:xfrm>
          <a:off x="342900" y="419100"/>
          <a:ext cx="533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2</xdr:row>
      <xdr:rowOff>0</xdr:rowOff>
    </xdr:from>
    <xdr:to>
      <xdr:col>1</xdr:col>
      <xdr:colOff>571500</xdr:colOff>
      <xdr:row>2</xdr:row>
      <xdr:rowOff>0</xdr:rowOff>
    </xdr:to>
    <xdr:cxnSp macro="">
      <xdr:nvCxnSpPr>
        <xdr:cNvPr id="2" name="Straight Connector 1"/>
        <xdr:cNvCxnSpPr/>
      </xdr:nvCxnSpPr>
      <xdr:spPr>
        <a:xfrm>
          <a:off x="295275" y="514350"/>
          <a:ext cx="6953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0</xdr:rowOff>
    </xdr:from>
    <xdr:to>
      <xdr:col>2</xdr:col>
      <xdr:colOff>996462</xdr:colOff>
      <xdr:row>1</xdr:row>
      <xdr:rowOff>38100</xdr:rowOff>
    </xdr:to>
    <xdr:sp macro="" textlink="">
      <xdr:nvSpPr>
        <xdr:cNvPr id="3" name="Rectangle 2"/>
        <xdr:cNvSpPr/>
      </xdr:nvSpPr>
      <xdr:spPr>
        <a:xfrm>
          <a:off x="2000250" y="0"/>
          <a:ext cx="996462"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13418</xdr:colOff>
      <xdr:row>2</xdr:row>
      <xdr:rowOff>1699</xdr:rowOff>
    </xdr:from>
    <xdr:to>
      <xdr:col>1</xdr:col>
      <xdr:colOff>509136</xdr:colOff>
      <xdr:row>2</xdr:row>
      <xdr:rowOff>448</xdr:rowOff>
    </xdr:to>
    <xdr:cxnSp macro="">
      <xdr:nvCxnSpPr>
        <xdr:cNvPr id="2" name="Straight Connector 1"/>
        <xdr:cNvCxnSpPr/>
      </xdr:nvCxnSpPr>
      <xdr:spPr>
        <a:xfrm>
          <a:off x="432518" y="401749"/>
          <a:ext cx="4957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0</xdr:row>
      <xdr:rowOff>0</xdr:rowOff>
    </xdr:from>
    <xdr:to>
      <xdr:col>2</xdr:col>
      <xdr:colOff>996462</xdr:colOff>
      <xdr:row>1</xdr:row>
      <xdr:rowOff>91168</xdr:rowOff>
    </xdr:to>
    <xdr:sp macro="" textlink="">
      <xdr:nvSpPr>
        <xdr:cNvPr id="3" name="Rectangle 2"/>
        <xdr:cNvSpPr/>
      </xdr:nvSpPr>
      <xdr:spPr>
        <a:xfrm>
          <a:off x="2598964" y="0"/>
          <a:ext cx="996462"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63012</xdr:colOff>
      <xdr:row>1</xdr:row>
      <xdr:rowOff>95250</xdr:rowOff>
    </xdr:to>
    <xdr:sp macro="" textlink="">
      <xdr:nvSpPr>
        <xdr:cNvPr id="2" name="Rectangle 1"/>
        <xdr:cNvSpPr/>
      </xdr:nvSpPr>
      <xdr:spPr>
        <a:xfrm>
          <a:off x="2905125" y="0"/>
          <a:ext cx="996462"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twoCellAnchor>
    <xdr:from>
      <xdr:col>1</xdr:col>
      <xdr:colOff>85725</xdr:colOff>
      <xdr:row>2</xdr:row>
      <xdr:rowOff>9525</xdr:rowOff>
    </xdr:from>
    <xdr:to>
      <xdr:col>1</xdr:col>
      <xdr:colOff>590550</xdr:colOff>
      <xdr:row>2</xdr:row>
      <xdr:rowOff>9525</xdr:rowOff>
    </xdr:to>
    <xdr:cxnSp macro="">
      <xdr:nvCxnSpPr>
        <xdr:cNvPr id="4" name="Straight Connector 3"/>
        <xdr:cNvCxnSpPr/>
      </xdr:nvCxnSpPr>
      <xdr:spPr>
        <a:xfrm>
          <a:off x="400050" y="40957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323850</xdr:colOff>
      <xdr:row>2</xdr:row>
      <xdr:rowOff>19050</xdr:rowOff>
    </xdr:from>
    <xdr:to>
      <xdr:col>1</xdr:col>
      <xdr:colOff>438150</xdr:colOff>
      <xdr:row>2</xdr:row>
      <xdr:rowOff>20638</xdr:rowOff>
    </xdr:to>
    <xdr:cxnSp macro="">
      <xdr:nvCxnSpPr>
        <xdr:cNvPr id="2" name="Straight Connector 1"/>
        <xdr:cNvCxnSpPr/>
      </xdr:nvCxnSpPr>
      <xdr:spPr>
        <a:xfrm>
          <a:off x="323850" y="419100"/>
          <a:ext cx="5715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1466850</xdr:colOff>
      <xdr:row>0</xdr:row>
      <xdr:rowOff>76200</xdr:rowOff>
    </xdr:from>
    <xdr:to>
      <xdr:col>1</xdr:col>
      <xdr:colOff>2463312</xdr:colOff>
      <xdr:row>2</xdr:row>
      <xdr:rowOff>9525</xdr:rowOff>
    </xdr:to>
    <xdr:sp macro="" textlink="">
      <xdr:nvSpPr>
        <xdr:cNvPr id="3" name="Rectangle 2"/>
        <xdr:cNvSpPr/>
      </xdr:nvSpPr>
      <xdr:spPr>
        <a:xfrm>
          <a:off x="1924050" y="76200"/>
          <a:ext cx="996462" cy="3333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100" b="1">
              <a:latin typeface="Times New Roman" pitchFamily="18" charset="0"/>
              <a:cs typeface="Times New Roman" pitchFamily="18" charset="0"/>
            </a:rPr>
            <a:t>DỰ</a:t>
          </a:r>
          <a:r>
            <a:rPr lang="en-US" sz="1100" b="1" baseline="0">
              <a:latin typeface="Times New Roman" pitchFamily="18" charset="0"/>
              <a:cs typeface="Times New Roman" pitchFamily="18" charset="0"/>
            </a:rPr>
            <a:t> THẢO</a:t>
          </a:r>
          <a:endParaRPr lang="en-US" sz="1100" b="1">
            <a:latin typeface="Times New Roman" pitchFamily="18" charset="0"/>
            <a:cs typeface="Times New Roman"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Zalo%20Received%20Files\Bang%20tinh%20quy%20luong%20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Drive\Ngan%20sach%20Giao%20duc\Giao%20duc%202023\DU%20TOAN%202023\DU%20TOAN%20GIAO%20DUC%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MN CL"/>
    </sheetNames>
    <sheetDataSet>
      <sheetData sheetId="0" refreshError="1">
        <row r="15">
          <cell r="T15">
            <v>432</v>
          </cell>
        </row>
        <row r="17">
          <cell r="T17">
            <v>9780</v>
          </cell>
        </row>
        <row r="18">
          <cell r="T18">
            <v>85</v>
          </cell>
        </row>
        <row r="19">
          <cell r="T19">
            <v>1938</v>
          </cell>
        </row>
        <row r="20">
          <cell r="T20">
            <v>742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MN CL"/>
      <sheetName val="KHOI TH"/>
      <sheetName val="Khoi THCS"/>
      <sheetName val="BANG GIAO MN"/>
      <sheetName val="BANG GIAO TH"/>
      <sheetName val="GIAO THCS"/>
      <sheetName val="toan nganh"/>
      <sheetName val="thuyet minh nguon chưa phan bo"/>
      <sheetName val="Phu luc tong"/>
    </sheetNames>
    <sheetDataSet>
      <sheetData sheetId="0" refreshError="1"/>
      <sheetData sheetId="1" refreshError="1"/>
      <sheetData sheetId="2" refreshError="1"/>
      <sheetData sheetId="3">
        <row r="9">
          <cell r="M9">
            <v>248129</v>
          </cell>
        </row>
        <row r="10">
          <cell r="M10">
            <v>667764</v>
          </cell>
        </row>
        <row r="11">
          <cell r="M11">
            <v>1072643</v>
          </cell>
        </row>
        <row r="12">
          <cell r="M12">
            <v>581665</v>
          </cell>
        </row>
        <row r="13">
          <cell r="M13">
            <v>543825</v>
          </cell>
        </row>
        <row r="14">
          <cell r="M14">
            <v>510676</v>
          </cell>
        </row>
        <row r="15">
          <cell r="M15">
            <v>521166</v>
          </cell>
        </row>
        <row r="16">
          <cell r="M16">
            <v>503563</v>
          </cell>
        </row>
        <row r="17">
          <cell r="M17">
            <v>683158</v>
          </cell>
        </row>
        <row r="18">
          <cell r="M18">
            <v>542122</v>
          </cell>
        </row>
        <row r="19">
          <cell r="M19">
            <v>523417</v>
          </cell>
        </row>
        <row r="20">
          <cell r="M20">
            <v>434081</v>
          </cell>
        </row>
        <row r="21">
          <cell r="M21">
            <v>741897</v>
          </cell>
        </row>
        <row r="22">
          <cell r="M22">
            <v>604458</v>
          </cell>
        </row>
        <row r="23">
          <cell r="M23">
            <v>1167775</v>
          </cell>
        </row>
        <row r="24">
          <cell r="M24">
            <v>417587</v>
          </cell>
        </row>
        <row r="25">
          <cell r="M25">
            <v>480034</v>
          </cell>
        </row>
        <row r="26">
          <cell r="J26">
            <v>49641713</v>
          </cell>
          <cell r="K26">
            <v>11382179</v>
          </cell>
          <cell r="L26">
            <v>1138219</v>
          </cell>
          <cell r="N26">
            <v>252000</v>
          </cell>
          <cell r="O26">
            <v>67635</v>
          </cell>
          <cell r="P26">
            <v>79650</v>
          </cell>
          <cell r="Q26">
            <v>11720</v>
          </cell>
          <cell r="R26">
            <v>369521</v>
          </cell>
        </row>
      </sheetData>
      <sheetData sheetId="4">
        <row r="10">
          <cell r="L10">
            <v>363970</v>
          </cell>
        </row>
        <row r="11">
          <cell r="L11">
            <v>882497</v>
          </cell>
        </row>
        <row r="12">
          <cell r="L12">
            <v>1438790</v>
          </cell>
        </row>
        <row r="13">
          <cell r="L13">
            <v>917330</v>
          </cell>
        </row>
        <row r="14">
          <cell r="L14">
            <v>592996</v>
          </cell>
        </row>
        <row r="15">
          <cell r="L15">
            <v>535566</v>
          </cell>
        </row>
        <row r="16">
          <cell r="L16">
            <v>658032</v>
          </cell>
        </row>
        <row r="17">
          <cell r="L17">
            <v>823112</v>
          </cell>
        </row>
        <row r="18">
          <cell r="L18">
            <v>715376</v>
          </cell>
        </row>
        <row r="19">
          <cell r="L19">
            <v>990846</v>
          </cell>
        </row>
        <row r="20">
          <cell r="L20">
            <v>338532</v>
          </cell>
        </row>
        <row r="21">
          <cell r="L21">
            <v>851665</v>
          </cell>
        </row>
        <row r="22">
          <cell r="L22">
            <v>645686</v>
          </cell>
        </row>
        <row r="23">
          <cell r="L23">
            <v>623859</v>
          </cell>
        </row>
        <row r="24">
          <cell r="L24">
            <v>552330</v>
          </cell>
        </row>
        <row r="25">
          <cell r="L25">
            <v>884779</v>
          </cell>
        </row>
        <row r="26">
          <cell r="L26">
            <v>693508</v>
          </cell>
        </row>
        <row r="27">
          <cell r="I27">
            <v>61780757</v>
          </cell>
          <cell r="J27">
            <v>13898751</v>
          </cell>
          <cell r="K27">
            <v>1389877</v>
          </cell>
          <cell r="M27">
            <v>1607159</v>
          </cell>
          <cell r="N27">
            <v>377323</v>
          </cell>
          <cell r="O27">
            <v>191700</v>
          </cell>
          <cell r="P27">
            <v>246120</v>
          </cell>
          <cell r="Q27">
            <v>1666055</v>
          </cell>
        </row>
      </sheetData>
      <sheetData sheetId="5">
        <row r="9">
          <cell r="P9">
            <v>932785</v>
          </cell>
        </row>
        <row r="10">
          <cell r="P10">
            <v>1086479</v>
          </cell>
        </row>
        <row r="11">
          <cell r="P11">
            <v>1420040</v>
          </cell>
        </row>
        <row r="12">
          <cell r="P12">
            <v>644648</v>
          </cell>
        </row>
        <row r="13">
          <cell r="P13">
            <v>1077087</v>
          </cell>
        </row>
        <row r="14">
          <cell r="P14">
            <v>968262</v>
          </cell>
        </row>
        <row r="15">
          <cell r="P15">
            <v>1503364</v>
          </cell>
        </row>
        <row r="16">
          <cell r="P16">
            <v>1340428</v>
          </cell>
        </row>
        <row r="17">
          <cell r="P17">
            <v>967937</v>
          </cell>
        </row>
        <row r="18">
          <cell r="P18">
            <v>974522</v>
          </cell>
        </row>
        <row r="19">
          <cell r="P19">
            <v>1330922</v>
          </cell>
        </row>
        <row r="20">
          <cell r="M20">
            <v>59543721</v>
          </cell>
          <cell r="N20">
            <v>13607193</v>
          </cell>
          <cell r="O20">
            <v>1360719</v>
          </cell>
          <cell r="Q20">
            <v>127935</v>
          </cell>
          <cell r="R20">
            <v>179550</v>
          </cell>
          <cell r="S20">
            <v>73045</v>
          </cell>
          <cell r="T20">
            <v>210960</v>
          </cell>
          <cell r="U20">
            <v>304405</v>
          </cell>
        </row>
      </sheetData>
      <sheetData sheetId="6">
        <row r="16">
          <cell r="N16">
            <v>1300000</v>
          </cell>
        </row>
        <row r="19">
          <cell r="G19">
            <v>1680204</v>
          </cell>
          <cell r="J19">
            <v>252000</v>
          </cell>
          <cell r="K19">
            <v>195570</v>
          </cell>
          <cell r="L19">
            <v>450900</v>
          </cell>
          <cell r="M19">
            <v>468800</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0"/>
  <sheetViews>
    <sheetView tabSelected="1" workbookViewId="0">
      <selection activeCell="G14" sqref="G14"/>
    </sheetView>
  </sheetViews>
  <sheetFormatPr defaultColWidth="10.28515625" defaultRowHeight="15.75" outlineLevelRow="1" x14ac:dyDescent="0.25"/>
  <cols>
    <col min="1" max="1" width="6.85546875" style="7" customWidth="1"/>
    <col min="2" max="2" width="44.7109375" style="32" customWidth="1"/>
    <col min="3" max="3" width="15.7109375" style="7" customWidth="1"/>
    <col min="4" max="4" width="13.85546875" style="7" customWidth="1"/>
    <col min="5" max="5" width="14.5703125" style="7" customWidth="1"/>
    <col min="6" max="16384" width="10.28515625" style="7"/>
  </cols>
  <sheetData>
    <row r="1" spans="1:5" x14ac:dyDescent="0.25">
      <c r="A1" s="5" t="s">
        <v>291</v>
      </c>
      <c r="B1" s="6"/>
      <c r="D1" s="248" t="s">
        <v>0</v>
      </c>
      <c r="E1" s="248"/>
    </row>
    <row r="2" spans="1:5" x14ac:dyDescent="0.25">
      <c r="A2" s="5" t="s">
        <v>1</v>
      </c>
      <c r="B2" s="6"/>
    </row>
    <row r="3" spans="1:5" x14ac:dyDescent="0.25">
      <c r="A3" s="5"/>
      <c r="B3" s="6"/>
    </row>
    <row r="4" spans="1:5" ht="21.75" customHeight="1" x14ac:dyDescent="0.25">
      <c r="A4" s="248" t="s">
        <v>23</v>
      </c>
      <c r="B4" s="248"/>
      <c r="C4" s="248"/>
      <c r="D4" s="248"/>
      <c r="E4" s="248"/>
    </row>
    <row r="5" spans="1:5" ht="21.75" customHeight="1" x14ac:dyDescent="0.25">
      <c r="A5" s="254" t="s">
        <v>292</v>
      </c>
      <c r="B5" s="254"/>
      <c r="C5" s="254"/>
      <c r="D5" s="254"/>
      <c r="E5" s="254"/>
    </row>
    <row r="6" spans="1:5" ht="16.5" customHeight="1" x14ac:dyDescent="0.25">
      <c r="A6" s="8"/>
      <c r="B6" s="8"/>
      <c r="C6" s="8"/>
      <c r="D6" s="8"/>
      <c r="E6" s="9"/>
    </row>
    <row r="7" spans="1:5" ht="19.5" customHeight="1" x14ac:dyDescent="0.25">
      <c r="B7" s="10"/>
      <c r="D7" s="253" t="s">
        <v>257</v>
      </c>
      <c r="E7" s="253"/>
    </row>
    <row r="8" spans="1:5" s="11" customFormat="1" ht="21.75" customHeight="1" x14ac:dyDescent="0.25">
      <c r="A8" s="249" t="s">
        <v>25</v>
      </c>
      <c r="B8" s="249" t="s">
        <v>26</v>
      </c>
      <c r="C8" s="249" t="s">
        <v>27</v>
      </c>
      <c r="D8" s="249"/>
      <c r="E8" s="249"/>
    </row>
    <row r="9" spans="1:5" s="11" customFormat="1" ht="19.5" customHeight="1" x14ac:dyDescent="0.25">
      <c r="A9" s="249"/>
      <c r="B9" s="252"/>
      <c r="C9" s="249" t="s">
        <v>28</v>
      </c>
      <c r="D9" s="250" t="s">
        <v>29</v>
      </c>
      <c r="E9" s="250"/>
    </row>
    <row r="10" spans="1:5" s="11" customFormat="1" ht="40.5" customHeight="1" x14ac:dyDescent="0.25">
      <c r="A10" s="249"/>
      <c r="B10" s="252"/>
      <c r="C10" s="249"/>
      <c r="D10" s="12" t="s">
        <v>30</v>
      </c>
      <c r="E10" s="12" t="s">
        <v>31</v>
      </c>
    </row>
    <row r="11" spans="1:5" s="8" customFormat="1" ht="18.75" customHeight="1" x14ac:dyDescent="0.25">
      <c r="A11" s="124" t="s">
        <v>32</v>
      </c>
      <c r="B11" s="125" t="s">
        <v>33</v>
      </c>
      <c r="C11" s="124" t="s">
        <v>293</v>
      </c>
      <c r="D11" s="124">
        <v>2</v>
      </c>
      <c r="E11" s="124">
        <v>3</v>
      </c>
    </row>
    <row r="12" spans="1:5" s="15" customFormat="1" ht="28.5" customHeight="1" x14ac:dyDescent="0.25">
      <c r="A12" s="12" t="s">
        <v>34</v>
      </c>
      <c r="B12" s="12" t="s">
        <v>35</v>
      </c>
      <c r="C12" s="14">
        <f t="shared" ref="C12:E12" si="0">SUM(C13:C24)</f>
        <v>383550000</v>
      </c>
      <c r="D12" s="14">
        <f t="shared" si="0"/>
        <v>45903000</v>
      </c>
      <c r="E12" s="14">
        <f t="shared" si="0"/>
        <v>337647000</v>
      </c>
    </row>
    <row r="13" spans="1:5" ht="25.5" customHeight="1" outlineLevel="1" x14ac:dyDescent="0.25">
      <c r="A13" s="16">
        <v>1</v>
      </c>
      <c r="B13" s="17" t="s">
        <v>3</v>
      </c>
      <c r="C13" s="18">
        <f>SUM(D13:E13)</f>
        <v>5500000</v>
      </c>
      <c r="D13" s="18">
        <v>5500000</v>
      </c>
      <c r="E13" s="18"/>
    </row>
    <row r="14" spans="1:5" ht="25.5" customHeight="1" outlineLevel="1" x14ac:dyDescent="0.25">
      <c r="A14" s="16">
        <v>2</v>
      </c>
      <c r="B14" s="17" t="s">
        <v>6</v>
      </c>
      <c r="C14" s="18">
        <f t="shared" ref="C14:C24" si="1">SUM(D14:E14)</f>
        <v>0</v>
      </c>
      <c r="D14" s="18"/>
      <c r="E14" s="18"/>
    </row>
    <row r="15" spans="1:5" ht="25.5" customHeight="1" outlineLevel="1" x14ac:dyDescent="0.25">
      <c r="A15" s="16">
        <v>3</v>
      </c>
      <c r="B15" s="17" t="s">
        <v>7</v>
      </c>
      <c r="C15" s="18">
        <f t="shared" si="1"/>
        <v>29000000</v>
      </c>
      <c r="D15" s="18"/>
      <c r="E15" s="18">
        <v>29000000</v>
      </c>
    </row>
    <row r="16" spans="1:5" ht="25.5" customHeight="1" outlineLevel="1" x14ac:dyDescent="0.25">
      <c r="A16" s="16">
        <v>4</v>
      </c>
      <c r="B16" s="17" t="s">
        <v>11</v>
      </c>
      <c r="C16" s="18">
        <f t="shared" si="1"/>
        <v>17000000</v>
      </c>
      <c r="D16" s="18"/>
      <c r="E16" s="18">
        <v>17000000</v>
      </c>
    </row>
    <row r="17" spans="1:5" ht="25.5" customHeight="1" outlineLevel="1" x14ac:dyDescent="0.25">
      <c r="A17" s="16">
        <v>5</v>
      </c>
      <c r="B17" s="17" t="s">
        <v>12</v>
      </c>
      <c r="C17" s="18">
        <f t="shared" si="1"/>
        <v>45000000</v>
      </c>
      <c r="D17" s="18">
        <v>39000000</v>
      </c>
      <c r="E17" s="18">
        <v>6000000</v>
      </c>
    </row>
    <row r="18" spans="1:5" ht="25.5" customHeight="1" outlineLevel="1" x14ac:dyDescent="0.25">
      <c r="A18" s="16">
        <v>6</v>
      </c>
      <c r="B18" s="17" t="s">
        <v>13</v>
      </c>
      <c r="C18" s="18">
        <f t="shared" si="1"/>
        <v>2850000</v>
      </c>
      <c r="D18" s="18">
        <v>1403000</v>
      </c>
      <c r="E18" s="18">
        <f>2850000-1403000</f>
        <v>1447000</v>
      </c>
    </row>
    <row r="19" spans="1:5" ht="25.5" customHeight="1" outlineLevel="1" x14ac:dyDescent="0.25">
      <c r="A19" s="16">
        <v>7</v>
      </c>
      <c r="B19" s="17" t="s">
        <v>14</v>
      </c>
      <c r="C19" s="18">
        <f t="shared" si="1"/>
        <v>830000</v>
      </c>
      <c r="D19" s="18"/>
      <c r="E19" s="18">
        <v>830000</v>
      </c>
    </row>
    <row r="20" spans="1:5" s="8" customFormat="1" ht="25.5" customHeight="1" outlineLevel="1" x14ac:dyDescent="0.25">
      <c r="A20" s="16">
        <v>8</v>
      </c>
      <c r="B20" s="17" t="s">
        <v>15</v>
      </c>
      <c r="C20" s="18">
        <f t="shared" si="1"/>
        <v>5800000</v>
      </c>
      <c r="D20" s="20"/>
      <c r="E20" s="18">
        <v>5800000</v>
      </c>
    </row>
    <row r="21" spans="1:5" s="8" customFormat="1" ht="25.5" customHeight="1" outlineLevel="1" x14ac:dyDescent="0.25">
      <c r="A21" s="16">
        <v>9</v>
      </c>
      <c r="B21" s="17" t="s">
        <v>16</v>
      </c>
      <c r="C21" s="18">
        <f t="shared" si="1"/>
        <v>1000000</v>
      </c>
      <c r="D21" s="20"/>
      <c r="E21" s="18">
        <v>1000000</v>
      </c>
    </row>
    <row r="22" spans="1:5" s="8" customFormat="1" ht="25.5" customHeight="1" outlineLevel="1" x14ac:dyDescent="0.25">
      <c r="A22" s="16">
        <v>10</v>
      </c>
      <c r="B22" s="17" t="s">
        <v>17</v>
      </c>
      <c r="C22" s="18">
        <f t="shared" si="1"/>
        <v>268000000</v>
      </c>
      <c r="D22" s="20"/>
      <c r="E22" s="18">
        <v>268000000</v>
      </c>
    </row>
    <row r="23" spans="1:5" s="8" customFormat="1" ht="25.5" customHeight="1" outlineLevel="1" x14ac:dyDescent="0.25">
      <c r="A23" s="16">
        <v>11</v>
      </c>
      <c r="B23" s="17" t="s">
        <v>21</v>
      </c>
      <c r="C23" s="18">
        <f t="shared" si="1"/>
        <v>2570000</v>
      </c>
      <c r="D23" s="20"/>
      <c r="E23" s="18">
        <v>2570000</v>
      </c>
    </row>
    <row r="24" spans="1:5" s="8" customFormat="1" ht="25.5" customHeight="1" outlineLevel="1" x14ac:dyDescent="0.25">
      <c r="A24" s="16">
        <v>12</v>
      </c>
      <c r="B24" s="17" t="s">
        <v>22</v>
      </c>
      <c r="C24" s="18">
        <f t="shared" si="1"/>
        <v>6000000</v>
      </c>
      <c r="D24" s="20"/>
      <c r="E24" s="18">
        <v>6000000</v>
      </c>
    </row>
    <row r="25" spans="1:5" s="22" customFormat="1" ht="33.75" customHeight="1" x14ac:dyDescent="0.25">
      <c r="A25" s="13" t="s">
        <v>36</v>
      </c>
      <c r="B25" s="21" t="s">
        <v>37</v>
      </c>
      <c r="C25" s="14"/>
      <c r="D25" s="14"/>
      <c r="E25" s="14"/>
    </row>
    <row r="26" spans="1:5" s="22" customFormat="1" ht="24.75" customHeight="1" x14ac:dyDescent="0.25">
      <c r="A26" s="13" t="s">
        <v>38</v>
      </c>
      <c r="B26" s="21" t="s">
        <v>39</v>
      </c>
      <c r="C26" s="23">
        <f>C27+C28+C29</f>
        <v>383550000</v>
      </c>
      <c r="D26" s="23">
        <f t="shared" ref="D26:E26" si="2">D27+D28+D29</f>
        <v>68903000</v>
      </c>
      <c r="E26" s="23">
        <f t="shared" si="2"/>
        <v>314647000</v>
      </c>
    </row>
    <row r="27" spans="1:5" ht="27" customHeight="1" outlineLevel="1" x14ac:dyDescent="0.25">
      <c r="A27" s="16">
        <v>1</v>
      </c>
      <c r="B27" s="24" t="s">
        <v>40</v>
      </c>
      <c r="C27" s="18">
        <f>SUM(D27:E27)</f>
        <v>4500000</v>
      </c>
      <c r="D27" s="19">
        <v>4500000</v>
      </c>
      <c r="E27" s="19"/>
    </row>
    <row r="28" spans="1:5" s="10" customFormat="1" ht="30" customHeight="1" outlineLevel="1" x14ac:dyDescent="0.25">
      <c r="A28" s="12">
        <v>2</v>
      </c>
      <c r="B28" s="24" t="s">
        <v>41</v>
      </c>
      <c r="C28" s="18">
        <f>SUM(D28:E28)</f>
        <v>112518000</v>
      </c>
      <c r="D28" s="18">
        <v>19600000</v>
      </c>
      <c r="E28" s="18">
        <f>112518000-19600000</f>
        <v>92918000</v>
      </c>
    </row>
    <row r="29" spans="1:5" s="10" customFormat="1" ht="27" customHeight="1" outlineLevel="1" x14ac:dyDescent="0.25">
      <c r="A29" s="16">
        <v>3</v>
      </c>
      <c r="B29" s="24" t="s">
        <v>42</v>
      </c>
      <c r="C29" s="18">
        <f>SUM(C30:C31)</f>
        <v>266532000</v>
      </c>
      <c r="D29" s="18">
        <f t="shared" ref="D29:E29" si="3">SUM(D30:D31)</f>
        <v>44803000</v>
      </c>
      <c r="E29" s="18">
        <f t="shared" si="3"/>
        <v>221729000</v>
      </c>
    </row>
    <row r="30" spans="1:5" s="10" customFormat="1" ht="30" customHeight="1" outlineLevel="1" x14ac:dyDescent="0.25">
      <c r="A30" s="12" t="s">
        <v>20</v>
      </c>
      <c r="B30" s="24" t="s">
        <v>43</v>
      </c>
      <c r="C30" s="18">
        <f t="shared" ref="C30:C36" si="4">SUM(D30:E30)</f>
        <v>187449000</v>
      </c>
      <c r="D30" s="18">
        <v>44803000</v>
      </c>
      <c r="E30" s="18">
        <f>187449000-44803000</f>
        <v>142646000</v>
      </c>
    </row>
    <row r="31" spans="1:5" s="10" customFormat="1" ht="30" customHeight="1" outlineLevel="1" x14ac:dyDescent="0.25">
      <c r="A31" s="12" t="s">
        <v>20</v>
      </c>
      <c r="B31" s="24" t="s">
        <v>44</v>
      </c>
      <c r="C31" s="18">
        <f t="shared" si="4"/>
        <v>79083000</v>
      </c>
      <c r="D31" s="18"/>
      <c r="E31" s="18">
        <v>79083000</v>
      </c>
    </row>
    <row r="32" spans="1:5" s="10" customFormat="1" ht="36" customHeight="1" x14ac:dyDescent="0.25">
      <c r="A32" s="12" t="s">
        <v>45</v>
      </c>
      <c r="B32" s="25" t="s">
        <v>46</v>
      </c>
      <c r="C32" s="26">
        <f>+C33+C34</f>
        <v>463182000</v>
      </c>
      <c r="D32" s="26">
        <f t="shared" ref="D32:E32" si="5">+D33+D34</f>
        <v>463182000</v>
      </c>
      <c r="E32" s="26">
        <f t="shared" si="5"/>
        <v>0</v>
      </c>
    </row>
    <row r="33" spans="1:5" ht="24.95" customHeight="1" outlineLevel="1" x14ac:dyDescent="0.25">
      <c r="A33" s="16">
        <v>1</v>
      </c>
      <c r="B33" s="27" t="s">
        <v>47</v>
      </c>
      <c r="C33" s="18">
        <f t="shared" si="4"/>
        <v>463182000</v>
      </c>
      <c r="D33" s="28">
        <v>463182000</v>
      </c>
      <c r="E33" s="28"/>
    </row>
    <row r="34" spans="1:5" ht="24.95" customHeight="1" outlineLevel="1" x14ac:dyDescent="0.25">
      <c r="A34" s="16">
        <v>2</v>
      </c>
      <c r="B34" s="27" t="s">
        <v>48</v>
      </c>
      <c r="C34" s="28">
        <f t="shared" ref="C34:E34" si="6">SUM(C35:C36)</f>
        <v>0</v>
      </c>
      <c r="D34" s="28">
        <f t="shared" si="6"/>
        <v>0</v>
      </c>
      <c r="E34" s="28">
        <f t="shared" si="6"/>
        <v>0</v>
      </c>
    </row>
    <row r="35" spans="1:5" ht="24.95" customHeight="1" outlineLevel="1" x14ac:dyDescent="0.25">
      <c r="A35" s="16" t="s">
        <v>20</v>
      </c>
      <c r="B35" s="27" t="s">
        <v>49</v>
      </c>
      <c r="C35" s="18">
        <f t="shared" si="4"/>
        <v>0</v>
      </c>
      <c r="D35" s="28"/>
      <c r="E35" s="28"/>
    </row>
    <row r="36" spans="1:5" ht="26.25" customHeight="1" outlineLevel="1" x14ac:dyDescent="0.25">
      <c r="A36" s="16" t="s">
        <v>20</v>
      </c>
      <c r="B36" s="27" t="s">
        <v>50</v>
      </c>
      <c r="C36" s="18">
        <f t="shared" si="4"/>
        <v>0</v>
      </c>
      <c r="D36" s="28"/>
      <c r="E36" s="28"/>
    </row>
    <row r="37" spans="1:5" s="10" customFormat="1" ht="26.25" customHeight="1" x14ac:dyDescent="0.25">
      <c r="A37" s="12" t="s">
        <v>51</v>
      </c>
      <c r="B37" s="29" t="s">
        <v>52</v>
      </c>
      <c r="C37" s="30"/>
      <c r="D37" s="30"/>
      <c r="E37" s="30"/>
    </row>
    <row r="38" spans="1:5" s="10" customFormat="1" ht="40.5" customHeight="1" x14ac:dyDescent="0.25">
      <c r="A38" s="12" t="s">
        <v>53</v>
      </c>
      <c r="B38" s="25" t="s">
        <v>54</v>
      </c>
      <c r="C38" s="30"/>
      <c r="D38" s="30"/>
      <c r="E38" s="30"/>
    </row>
    <row r="39" spans="1:5" s="10" customFormat="1" ht="30" customHeight="1" x14ac:dyDescent="0.25">
      <c r="A39" s="12" t="s">
        <v>55</v>
      </c>
      <c r="B39" s="25" t="s">
        <v>56</v>
      </c>
      <c r="C39" s="23"/>
      <c r="D39" s="23"/>
      <c r="E39" s="23"/>
    </row>
    <row r="40" spans="1:5" ht="31.5" customHeight="1" x14ac:dyDescent="0.25">
      <c r="A40" s="16"/>
      <c r="B40" s="12" t="s">
        <v>287</v>
      </c>
      <c r="C40" s="23">
        <f>+C29+C32+C37+C38+C39</f>
        <v>729714000</v>
      </c>
      <c r="D40" s="23">
        <f t="shared" ref="D40:E40" si="7">+D29+D32+D37+D38+D39</f>
        <v>507985000</v>
      </c>
      <c r="E40" s="23">
        <f t="shared" si="7"/>
        <v>221729000</v>
      </c>
    </row>
    <row r="41" spans="1:5" ht="31.5" customHeight="1" x14ac:dyDescent="0.25">
      <c r="B41" s="31"/>
      <c r="D41" s="31"/>
      <c r="E41" s="31"/>
    </row>
    <row r="42" spans="1:5" ht="20.25" customHeight="1" x14ac:dyDescent="0.25">
      <c r="B42" s="7"/>
      <c r="C42" s="251"/>
      <c r="D42" s="251"/>
      <c r="E42" s="251"/>
    </row>
    <row r="43" spans="1:5" x14ac:dyDescent="0.25">
      <c r="B43" s="7"/>
    </row>
    <row r="44" spans="1:5" x14ac:dyDescent="0.25">
      <c r="B44" s="7"/>
    </row>
    <row r="45" spans="1:5" x14ac:dyDescent="0.25">
      <c r="B45" s="7"/>
    </row>
    <row r="46" spans="1:5" x14ac:dyDescent="0.25">
      <c r="B46" s="7"/>
    </row>
    <row r="47" spans="1:5" x14ac:dyDescent="0.25">
      <c r="B47" s="7"/>
    </row>
    <row r="48" spans="1:5"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7"/>
    </row>
    <row r="85" spans="2:2" x14ac:dyDescent="0.25">
      <c r="B85" s="7"/>
    </row>
    <row r="86" spans="2:2" x14ac:dyDescent="0.25">
      <c r="B86" s="7"/>
    </row>
    <row r="87" spans="2:2" x14ac:dyDescent="0.25">
      <c r="B87" s="7"/>
    </row>
    <row r="88" spans="2:2" x14ac:dyDescent="0.25">
      <c r="B88" s="7"/>
    </row>
    <row r="89" spans="2:2" x14ac:dyDescent="0.25">
      <c r="B89" s="7"/>
    </row>
    <row r="90" spans="2:2" x14ac:dyDescent="0.25">
      <c r="B90" s="7"/>
    </row>
    <row r="91" spans="2:2" x14ac:dyDescent="0.25">
      <c r="B91" s="7"/>
    </row>
    <row r="92" spans="2:2" x14ac:dyDescent="0.25">
      <c r="B92" s="7"/>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7"/>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19" spans="2:2" x14ac:dyDescent="0.25">
      <c r="B119" s="7"/>
    </row>
    <row r="120" spans="2:2" x14ac:dyDescent="0.25">
      <c r="B120" s="7"/>
    </row>
    <row r="121" spans="2:2" x14ac:dyDescent="0.25">
      <c r="B121" s="7"/>
    </row>
    <row r="122" spans="2:2" x14ac:dyDescent="0.25">
      <c r="B122" s="7"/>
    </row>
    <row r="123" spans="2:2" x14ac:dyDescent="0.25">
      <c r="B123" s="7"/>
    </row>
    <row r="124" spans="2:2" x14ac:dyDescent="0.25">
      <c r="B124" s="7"/>
    </row>
    <row r="125" spans="2:2" x14ac:dyDescent="0.25">
      <c r="B125" s="7"/>
    </row>
    <row r="126" spans="2:2" x14ac:dyDescent="0.25">
      <c r="B126" s="7"/>
    </row>
    <row r="127" spans="2:2" x14ac:dyDescent="0.25">
      <c r="B127" s="7"/>
    </row>
    <row r="128" spans="2:2" x14ac:dyDescent="0.25">
      <c r="B128" s="7"/>
    </row>
    <row r="129" spans="2:2" x14ac:dyDescent="0.25">
      <c r="B129" s="7"/>
    </row>
    <row r="130" spans="2:2" x14ac:dyDescent="0.25">
      <c r="B130" s="7"/>
    </row>
    <row r="131" spans="2:2" x14ac:dyDescent="0.25">
      <c r="B131" s="7"/>
    </row>
    <row r="132" spans="2:2" x14ac:dyDescent="0.25">
      <c r="B132" s="7"/>
    </row>
    <row r="133" spans="2:2" x14ac:dyDescent="0.25">
      <c r="B133" s="7"/>
    </row>
    <row r="134" spans="2:2" x14ac:dyDescent="0.25">
      <c r="B134" s="7"/>
    </row>
    <row r="135" spans="2:2" x14ac:dyDescent="0.25">
      <c r="B135" s="7"/>
    </row>
    <row r="136" spans="2:2" x14ac:dyDescent="0.25">
      <c r="B136"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149" spans="2:2" x14ac:dyDescent="0.25">
      <c r="B149" s="7"/>
    </row>
    <row r="150" spans="2:2" x14ac:dyDescent="0.25">
      <c r="B150" s="7"/>
    </row>
    <row r="151" spans="2:2" x14ac:dyDescent="0.25">
      <c r="B151" s="7"/>
    </row>
    <row r="152" spans="2:2" x14ac:dyDescent="0.25">
      <c r="B152" s="7"/>
    </row>
    <row r="153" spans="2:2" x14ac:dyDescent="0.25">
      <c r="B153" s="7"/>
    </row>
    <row r="154" spans="2:2" x14ac:dyDescent="0.25">
      <c r="B154" s="7"/>
    </row>
    <row r="155" spans="2:2" x14ac:dyDescent="0.25">
      <c r="B155" s="7"/>
    </row>
    <row r="156" spans="2:2" x14ac:dyDescent="0.25">
      <c r="B156" s="7"/>
    </row>
    <row r="157" spans="2:2" x14ac:dyDescent="0.25">
      <c r="B157" s="7"/>
    </row>
    <row r="158" spans="2:2" x14ac:dyDescent="0.25">
      <c r="B158" s="7"/>
    </row>
    <row r="159" spans="2:2" x14ac:dyDescent="0.25">
      <c r="B159" s="7"/>
    </row>
    <row r="160" spans="2:2" x14ac:dyDescent="0.25">
      <c r="B160" s="7"/>
    </row>
    <row r="161" spans="2:2" x14ac:dyDescent="0.25">
      <c r="B161" s="7"/>
    </row>
    <row r="162" spans="2:2" x14ac:dyDescent="0.25">
      <c r="B162" s="7"/>
    </row>
    <row r="163" spans="2:2" x14ac:dyDescent="0.25">
      <c r="B163" s="7"/>
    </row>
    <row r="164" spans="2:2" x14ac:dyDescent="0.25">
      <c r="B164" s="7"/>
    </row>
    <row r="165" spans="2:2" x14ac:dyDescent="0.25">
      <c r="B165" s="7"/>
    </row>
    <row r="166" spans="2:2" x14ac:dyDescent="0.25">
      <c r="B166" s="7"/>
    </row>
    <row r="167" spans="2:2" x14ac:dyDescent="0.25">
      <c r="B167" s="7"/>
    </row>
    <row r="168" spans="2:2" x14ac:dyDescent="0.25">
      <c r="B168" s="7"/>
    </row>
    <row r="169" spans="2:2" x14ac:dyDescent="0.25">
      <c r="B169" s="7"/>
    </row>
    <row r="170" spans="2:2" x14ac:dyDescent="0.25">
      <c r="B170" s="7"/>
    </row>
    <row r="171" spans="2:2" x14ac:dyDescent="0.25">
      <c r="B171" s="7"/>
    </row>
    <row r="172" spans="2:2" x14ac:dyDescent="0.25">
      <c r="B172" s="7"/>
    </row>
    <row r="173" spans="2:2" x14ac:dyDescent="0.25">
      <c r="B173" s="7"/>
    </row>
    <row r="174" spans="2:2" x14ac:dyDescent="0.25">
      <c r="B174" s="7"/>
    </row>
    <row r="175" spans="2:2" x14ac:dyDescent="0.25">
      <c r="B175" s="7"/>
    </row>
    <row r="176" spans="2:2" x14ac:dyDescent="0.25">
      <c r="B176" s="7"/>
    </row>
    <row r="177" spans="2:2" x14ac:dyDescent="0.25">
      <c r="B177" s="7"/>
    </row>
    <row r="178" spans="2:2" x14ac:dyDescent="0.25">
      <c r="B178" s="7"/>
    </row>
    <row r="179" spans="2:2" x14ac:dyDescent="0.25">
      <c r="B179" s="7"/>
    </row>
    <row r="180" spans="2:2" x14ac:dyDescent="0.25">
      <c r="B180" s="7"/>
    </row>
    <row r="181" spans="2:2" x14ac:dyDescent="0.25">
      <c r="B181" s="7"/>
    </row>
    <row r="182" spans="2:2" x14ac:dyDescent="0.25">
      <c r="B182" s="7"/>
    </row>
    <row r="183" spans="2:2" x14ac:dyDescent="0.25">
      <c r="B183" s="7"/>
    </row>
    <row r="184" spans="2:2" x14ac:dyDescent="0.25">
      <c r="B184" s="7"/>
    </row>
    <row r="185" spans="2:2" x14ac:dyDescent="0.25">
      <c r="B185" s="7"/>
    </row>
    <row r="186" spans="2:2" x14ac:dyDescent="0.25">
      <c r="B186" s="7"/>
    </row>
    <row r="187" spans="2:2" x14ac:dyDescent="0.25">
      <c r="B187" s="7"/>
    </row>
    <row r="188" spans="2:2" x14ac:dyDescent="0.25">
      <c r="B188" s="7"/>
    </row>
    <row r="189" spans="2:2" x14ac:dyDescent="0.25">
      <c r="B189" s="7"/>
    </row>
    <row r="190" spans="2:2" x14ac:dyDescent="0.25">
      <c r="B190" s="7"/>
    </row>
    <row r="191" spans="2:2" x14ac:dyDescent="0.25">
      <c r="B191" s="7"/>
    </row>
    <row r="192" spans="2:2"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row r="241" spans="2:2" x14ac:dyDescent="0.25">
      <c r="B241" s="7"/>
    </row>
    <row r="242" spans="2:2" x14ac:dyDescent="0.25">
      <c r="B242" s="7"/>
    </row>
    <row r="243" spans="2:2" x14ac:dyDescent="0.25">
      <c r="B243" s="7"/>
    </row>
    <row r="244" spans="2:2" x14ac:dyDescent="0.25">
      <c r="B244" s="7"/>
    </row>
    <row r="245" spans="2:2" x14ac:dyDescent="0.25">
      <c r="B245" s="7"/>
    </row>
    <row r="246" spans="2:2" x14ac:dyDescent="0.25">
      <c r="B246" s="7"/>
    </row>
    <row r="247" spans="2:2" x14ac:dyDescent="0.25">
      <c r="B247" s="7"/>
    </row>
    <row r="248" spans="2:2" x14ac:dyDescent="0.25">
      <c r="B248" s="7"/>
    </row>
    <row r="249" spans="2:2" x14ac:dyDescent="0.25">
      <c r="B249" s="7"/>
    </row>
    <row r="250" spans="2:2" x14ac:dyDescent="0.25">
      <c r="B250" s="7"/>
    </row>
    <row r="251" spans="2:2" x14ac:dyDescent="0.25">
      <c r="B251" s="7"/>
    </row>
    <row r="252" spans="2:2" x14ac:dyDescent="0.25">
      <c r="B252" s="7"/>
    </row>
    <row r="253" spans="2:2" x14ac:dyDescent="0.25">
      <c r="B253" s="7"/>
    </row>
    <row r="254" spans="2:2" x14ac:dyDescent="0.25">
      <c r="B254" s="7"/>
    </row>
    <row r="255" spans="2:2" x14ac:dyDescent="0.25">
      <c r="B255" s="7"/>
    </row>
    <row r="256" spans="2:2" x14ac:dyDescent="0.25">
      <c r="B256" s="7"/>
    </row>
    <row r="257" spans="2:2" x14ac:dyDescent="0.25">
      <c r="B257" s="7"/>
    </row>
    <row r="258" spans="2:2" x14ac:dyDescent="0.25">
      <c r="B258" s="7"/>
    </row>
    <row r="259" spans="2:2" x14ac:dyDescent="0.25">
      <c r="B259" s="7"/>
    </row>
    <row r="260" spans="2:2" x14ac:dyDescent="0.25">
      <c r="B260" s="7"/>
    </row>
    <row r="261" spans="2:2" x14ac:dyDescent="0.25">
      <c r="B261" s="7"/>
    </row>
    <row r="262" spans="2:2" x14ac:dyDescent="0.25">
      <c r="B262" s="7"/>
    </row>
    <row r="263" spans="2:2" x14ac:dyDescent="0.25">
      <c r="B263" s="7"/>
    </row>
    <row r="264" spans="2:2" x14ac:dyDescent="0.25">
      <c r="B264" s="7"/>
    </row>
    <row r="265" spans="2:2" x14ac:dyDescent="0.25">
      <c r="B265" s="7"/>
    </row>
    <row r="266" spans="2:2" x14ac:dyDescent="0.25">
      <c r="B266" s="7"/>
    </row>
    <row r="267" spans="2:2" x14ac:dyDescent="0.25">
      <c r="B267" s="7"/>
    </row>
    <row r="268" spans="2:2" x14ac:dyDescent="0.25">
      <c r="B268" s="7"/>
    </row>
    <row r="269" spans="2:2" x14ac:dyDescent="0.25">
      <c r="B269" s="7"/>
    </row>
    <row r="270" spans="2:2" x14ac:dyDescent="0.25">
      <c r="B270" s="7"/>
    </row>
    <row r="271" spans="2:2" x14ac:dyDescent="0.25">
      <c r="B271" s="7"/>
    </row>
    <row r="272" spans="2:2" x14ac:dyDescent="0.25">
      <c r="B272" s="7"/>
    </row>
    <row r="273" spans="2:2" x14ac:dyDescent="0.25">
      <c r="B273" s="7"/>
    </row>
    <row r="274" spans="2:2" x14ac:dyDescent="0.25">
      <c r="B274" s="7"/>
    </row>
    <row r="275" spans="2:2" x14ac:dyDescent="0.25">
      <c r="B275" s="7"/>
    </row>
    <row r="276" spans="2:2" x14ac:dyDescent="0.25">
      <c r="B276" s="7"/>
    </row>
    <row r="277" spans="2:2" x14ac:dyDescent="0.25">
      <c r="B277" s="7"/>
    </row>
    <row r="278" spans="2:2" x14ac:dyDescent="0.25">
      <c r="B278" s="7"/>
    </row>
    <row r="279" spans="2:2" x14ac:dyDescent="0.25">
      <c r="B279" s="7"/>
    </row>
    <row r="280" spans="2:2" x14ac:dyDescent="0.25">
      <c r="B280" s="7"/>
    </row>
    <row r="281" spans="2:2" x14ac:dyDescent="0.25">
      <c r="B281" s="7"/>
    </row>
    <row r="282" spans="2:2" x14ac:dyDescent="0.25">
      <c r="B282" s="7"/>
    </row>
    <row r="283" spans="2:2" x14ac:dyDescent="0.25">
      <c r="B283" s="7"/>
    </row>
    <row r="284" spans="2:2" x14ac:dyDescent="0.25">
      <c r="B284" s="7"/>
    </row>
    <row r="285" spans="2:2" x14ac:dyDescent="0.25">
      <c r="B285" s="7"/>
    </row>
    <row r="286" spans="2:2" x14ac:dyDescent="0.25">
      <c r="B286" s="7"/>
    </row>
    <row r="287" spans="2:2" x14ac:dyDescent="0.25">
      <c r="B287" s="7"/>
    </row>
    <row r="288" spans="2:2" x14ac:dyDescent="0.25">
      <c r="B288" s="7"/>
    </row>
    <row r="289" spans="2:2" x14ac:dyDescent="0.25">
      <c r="B289" s="7"/>
    </row>
    <row r="290" spans="2:2" x14ac:dyDescent="0.25">
      <c r="B290" s="7"/>
    </row>
    <row r="291" spans="2:2" x14ac:dyDescent="0.25">
      <c r="B291" s="7"/>
    </row>
    <row r="292" spans="2:2" x14ac:dyDescent="0.25">
      <c r="B292" s="7"/>
    </row>
    <row r="293" spans="2:2" x14ac:dyDescent="0.25">
      <c r="B293" s="7"/>
    </row>
    <row r="294" spans="2:2" x14ac:dyDescent="0.25">
      <c r="B294" s="7"/>
    </row>
    <row r="295" spans="2:2" x14ac:dyDescent="0.25">
      <c r="B295" s="7"/>
    </row>
    <row r="296" spans="2:2" x14ac:dyDescent="0.25">
      <c r="B296" s="7"/>
    </row>
    <row r="297" spans="2:2" x14ac:dyDescent="0.25">
      <c r="B297" s="7"/>
    </row>
    <row r="298" spans="2:2" x14ac:dyDescent="0.25">
      <c r="B298"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11" spans="2:2" x14ac:dyDescent="0.25">
      <c r="B311" s="7"/>
    </row>
    <row r="312" spans="2:2" x14ac:dyDescent="0.25">
      <c r="B312" s="7"/>
    </row>
    <row r="313" spans="2:2" x14ac:dyDescent="0.25">
      <c r="B313" s="7"/>
    </row>
    <row r="314" spans="2:2" x14ac:dyDescent="0.25">
      <c r="B314" s="7"/>
    </row>
    <row r="315" spans="2:2" x14ac:dyDescent="0.25">
      <c r="B315" s="7"/>
    </row>
    <row r="316" spans="2:2" x14ac:dyDescent="0.25">
      <c r="B316" s="7"/>
    </row>
    <row r="317" spans="2:2" x14ac:dyDescent="0.25">
      <c r="B317" s="7"/>
    </row>
    <row r="318" spans="2:2" x14ac:dyDescent="0.25">
      <c r="B318" s="7"/>
    </row>
    <row r="319" spans="2:2" x14ac:dyDescent="0.25">
      <c r="B319" s="7"/>
    </row>
    <row r="320" spans="2:2" x14ac:dyDescent="0.25">
      <c r="B320" s="7"/>
    </row>
    <row r="321" spans="2:2" x14ac:dyDescent="0.25">
      <c r="B321"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1" spans="2:2" x14ac:dyDescent="0.25">
      <c r="B331" s="7"/>
    </row>
    <row r="332" spans="2:2" x14ac:dyDescent="0.25">
      <c r="B332" s="7"/>
    </row>
    <row r="333" spans="2:2" x14ac:dyDescent="0.25">
      <c r="B333" s="7"/>
    </row>
    <row r="334" spans="2:2" x14ac:dyDescent="0.25">
      <c r="B334" s="7"/>
    </row>
    <row r="335" spans="2:2" x14ac:dyDescent="0.25">
      <c r="B335" s="7"/>
    </row>
    <row r="336" spans="2:2" x14ac:dyDescent="0.25">
      <c r="B336" s="7"/>
    </row>
    <row r="337" spans="2:2" x14ac:dyDescent="0.25">
      <c r="B337" s="7"/>
    </row>
    <row r="338" spans="2:2" x14ac:dyDescent="0.25">
      <c r="B338" s="7"/>
    </row>
    <row r="339" spans="2:2" x14ac:dyDescent="0.25">
      <c r="B339" s="7"/>
    </row>
    <row r="340" spans="2:2" x14ac:dyDescent="0.25">
      <c r="B340" s="7"/>
    </row>
    <row r="341" spans="2:2" x14ac:dyDescent="0.25">
      <c r="B341" s="7"/>
    </row>
    <row r="342" spans="2:2" x14ac:dyDescent="0.25">
      <c r="B342" s="7"/>
    </row>
    <row r="343" spans="2:2" x14ac:dyDescent="0.25">
      <c r="B343"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3" spans="2:2" x14ac:dyDescent="0.25">
      <c r="B363" s="7"/>
    </row>
    <row r="364" spans="2:2" x14ac:dyDescent="0.25">
      <c r="B364" s="7"/>
    </row>
    <row r="365" spans="2:2" x14ac:dyDescent="0.25">
      <c r="B365" s="7"/>
    </row>
    <row r="366" spans="2:2" x14ac:dyDescent="0.25">
      <c r="B366" s="7"/>
    </row>
    <row r="367" spans="2:2" x14ac:dyDescent="0.25">
      <c r="B367" s="7"/>
    </row>
    <row r="368" spans="2:2" x14ac:dyDescent="0.25">
      <c r="B368" s="7"/>
    </row>
    <row r="369" spans="2:2" x14ac:dyDescent="0.25">
      <c r="B369" s="7"/>
    </row>
    <row r="370" spans="2:2" x14ac:dyDescent="0.25">
      <c r="B370" s="7"/>
    </row>
    <row r="371" spans="2:2" x14ac:dyDescent="0.25">
      <c r="B371" s="7"/>
    </row>
    <row r="372" spans="2:2" x14ac:dyDescent="0.25">
      <c r="B372" s="7"/>
    </row>
    <row r="373" spans="2:2" x14ac:dyDescent="0.25">
      <c r="B373" s="7"/>
    </row>
    <row r="374" spans="2:2" x14ac:dyDescent="0.25">
      <c r="B374" s="7"/>
    </row>
    <row r="375" spans="2:2" x14ac:dyDescent="0.25">
      <c r="B375" s="7"/>
    </row>
    <row r="376" spans="2:2" x14ac:dyDescent="0.25">
      <c r="B376" s="7"/>
    </row>
    <row r="377" spans="2:2" x14ac:dyDescent="0.25">
      <c r="B377" s="7"/>
    </row>
    <row r="378" spans="2:2" x14ac:dyDescent="0.25">
      <c r="B378" s="7"/>
    </row>
    <row r="379" spans="2:2" x14ac:dyDescent="0.25">
      <c r="B379" s="7"/>
    </row>
    <row r="380" spans="2:2" x14ac:dyDescent="0.25">
      <c r="B380" s="7"/>
    </row>
    <row r="381" spans="2:2" x14ac:dyDescent="0.25">
      <c r="B381" s="7"/>
    </row>
    <row r="382" spans="2:2" x14ac:dyDescent="0.25">
      <c r="B382" s="7"/>
    </row>
    <row r="383" spans="2:2" x14ac:dyDescent="0.25">
      <c r="B383" s="7"/>
    </row>
    <row r="384" spans="2:2" x14ac:dyDescent="0.25">
      <c r="B384" s="7"/>
    </row>
    <row r="385" spans="2:2" x14ac:dyDescent="0.25">
      <c r="B385" s="7"/>
    </row>
    <row r="386" spans="2:2" x14ac:dyDescent="0.25">
      <c r="B386" s="7"/>
    </row>
    <row r="387" spans="2:2" x14ac:dyDescent="0.25">
      <c r="B387" s="7"/>
    </row>
    <row r="388" spans="2:2" x14ac:dyDescent="0.25">
      <c r="B388" s="7"/>
    </row>
    <row r="389" spans="2:2" x14ac:dyDescent="0.25">
      <c r="B389" s="7"/>
    </row>
    <row r="390" spans="2:2" x14ac:dyDescent="0.25">
      <c r="B390" s="7"/>
    </row>
    <row r="391" spans="2:2" x14ac:dyDescent="0.25">
      <c r="B391" s="7"/>
    </row>
    <row r="392" spans="2:2" x14ac:dyDescent="0.25">
      <c r="B392" s="7"/>
    </row>
    <row r="393" spans="2:2" x14ac:dyDescent="0.25">
      <c r="B393" s="7"/>
    </row>
    <row r="394" spans="2:2" x14ac:dyDescent="0.25">
      <c r="B394" s="7"/>
    </row>
    <row r="395" spans="2:2" x14ac:dyDescent="0.25">
      <c r="B395" s="7"/>
    </row>
    <row r="396" spans="2:2" x14ac:dyDescent="0.25">
      <c r="B396" s="7"/>
    </row>
    <row r="397" spans="2:2" x14ac:dyDescent="0.25">
      <c r="B397" s="7"/>
    </row>
    <row r="398" spans="2:2" x14ac:dyDescent="0.25">
      <c r="B398" s="7"/>
    </row>
    <row r="399" spans="2:2" x14ac:dyDescent="0.25">
      <c r="B399" s="7"/>
    </row>
    <row r="400" spans="2:2" x14ac:dyDescent="0.25">
      <c r="B400" s="7"/>
    </row>
    <row r="401" spans="2:2" x14ac:dyDescent="0.25">
      <c r="B401" s="7"/>
    </row>
    <row r="402" spans="2:2" x14ac:dyDescent="0.25">
      <c r="B402" s="7"/>
    </row>
    <row r="403" spans="2:2" x14ac:dyDescent="0.25">
      <c r="B403" s="7"/>
    </row>
    <row r="404" spans="2:2" x14ac:dyDescent="0.25">
      <c r="B404" s="7"/>
    </row>
    <row r="405" spans="2:2" x14ac:dyDescent="0.25">
      <c r="B405" s="7"/>
    </row>
    <row r="406" spans="2:2" x14ac:dyDescent="0.25">
      <c r="B406" s="7"/>
    </row>
    <row r="407" spans="2:2" x14ac:dyDescent="0.25">
      <c r="B407" s="7"/>
    </row>
    <row r="408" spans="2:2" x14ac:dyDescent="0.25">
      <c r="B408" s="7"/>
    </row>
    <row r="409" spans="2:2" x14ac:dyDescent="0.25">
      <c r="B409" s="7"/>
    </row>
    <row r="410" spans="2:2" x14ac:dyDescent="0.25">
      <c r="B410" s="7"/>
    </row>
    <row r="411" spans="2:2" x14ac:dyDescent="0.25">
      <c r="B411" s="7"/>
    </row>
    <row r="412" spans="2:2" x14ac:dyDescent="0.25">
      <c r="B412" s="7"/>
    </row>
    <row r="413" spans="2:2" x14ac:dyDescent="0.25">
      <c r="B413" s="7"/>
    </row>
    <row r="414" spans="2:2" x14ac:dyDescent="0.25">
      <c r="B414" s="7"/>
    </row>
    <row r="415" spans="2:2" x14ac:dyDescent="0.25">
      <c r="B415" s="7"/>
    </row>
    <row r="416" spans="2:2" x14ac:dyDescent="0.25">
      <c r="B416" s="7"/>
    </row>
    <row r="417" spans="2:2" x14ac:dyDescent="0.25">
      <c r="B417" s="7"/>
    </row>
    <row r="418" spans="2:2" x14ac:dyDescent="0.25">
      <c r="B418" s="7"/>
    </row>
    <row r="419" spans="2:2" x14ac:dyDescent="0.25">
      <c r="B419" s="7"/>
    </row>
    <row r="420" spans="2:2" x14ac:dyDescent="0.25">
      <c r="B420" s="7"/>
    </row>
    <row r="421" spans="2:2" x14ac:dyDescent="0.25">
      <c r="B421" s="7"/>
    </row>
    <row r="422" spans="2:2" x14ac:dyDescent="0.25">
      <c r="B422" s="7"/>
    </row>
    <row r="423" spans="2:2" x14ac:dyDescent="0.25">
      <c r="B423" s="7"/>
    </row>
    <row r="424" spans="2:2" x14ac:dyDescent="0.25">
      <c r="B424" s="7"/>
    </row>
    <row r="425" spans="2:2" x14ac:dyDescent="0.25">
      <c r="B425" s="7"/>
    </row>
    <row r="426" spans="2:2" x14ac:dyDescent="0.25">
      <c r="B426" s="7"/>
    </row>
    <row r="427" spans="2:2" x14ac:dyDescent="0.25">
      <c r="B427" s="7"/>
    </row>
    <row r="428" spans="2:2" x14ac:dyDescent="0.25">
      <c r="B428" s="7"/>
    </row>
    <row r="429" spans="2:2" x14ac:dyDescent="0.25">
      <c r="B429" s="7"/>
    </row>
    <row r="430" spans="2:2" x14ac:dyDescent="0.25">
      <c r="B430" s="7"/>
    </row>
    <row r="431" spans="2:2" x14ac:dyDescent="0.25">
      <c r="B431" s="7"/>
    </row>
    <row r="432" spans="2:2" x14ac:dyDescent="0.25">
      <c r="B432" s="7"/>
    </row>
    <row r="433" spans="2:2" x14ac:dyDescent="0.25">
      <c r="B433" s="7"/>
    </row>
    <row r="434" spans="2:2" x14ac:dyDescent="0.25">
      <c r="B434" s="7"/>
    </row>
    <row r="435" spans="2:2" x14ac:dyDescent="0.25">
      <c r="B435" s="7"/>
    </row>
    <row r="436" spans="2:2" x14ac:dyDescent="0.25">
      <c r="B436" s="7"/>
    </row>
    <row r="437" spans="2:2" x14ac:dyDescent="0.25">
      <c r="B437" s="7"/>
    </row>
    <row r="438" spans="2:2" x14ac:dyDescent="0.25">
      <c r="B438" s="7"/>
    </row>
    <row r="439" spans="2:2" x14ac:dyDescent="0.25">
      <c r="B439" s="7"/>
    </row>
    <row r="440" spans="2:2" x14ac:dyDescent="0.25">
      <c r="B440" s="7"/>
    </row>
    <row r="441" spans="2:2" x14ac:dyDescent="0.25">
      <c r="B441" s="7"/>
    </row>
    <row r="442" spans="2:2" x14ac:dyDescent="0.25">
      <c r="B442" s="7"/>
    </row>
    <row r="443" spans="2:2" x14ac:dyDescent="0.25">
      <c r="B443" s="7"/>
    </row>
    <row r="444" spans="2:2" x14ac:dyDescent="0.25">
      <c r="B444" s="7"/>
    </row>
    <row r="445" spans="2:2" x14ac:dyDescent="0.25">
      <c r="B445" s="7"/>
    </row>
    <row r="446" spans="2:2" x14ac:dyDescent="0.25">
      <c r="B446" s="7"/>
    </row>
    <row r="447" spans="2:2" x14ac:dyDescent="0.25">
      <c r="B447" s="7"/>
    </row>
    <row r="448" spans="2:2" x14ac:dyDescent="0.25">
      <c r="B448" s="7"/>
    </row>
    <row r="449" spans="2:2" x14ac:dyDescent="0.25">
      <c r="B449" s="7"/>
    </row>
    <row r="450" spans="2:2" x14ac:dyDescent="0.25">
      <c r="B450" s="7"/>
    </row>
    <row r="451" spans="2:2" x14ac:dyDescent="0.25">
      <c r="B451" s="7"/>
    </row>
    <row r="452" spans="2:2" x14ac:dyDescent="0.25">
      <c r="B452" s="7"/>
    </row>
    <row r="453" spans="2:2" x14ac:dyDescent="0.25">
      <c r="B453" s="7"/>
    </row>
    <row r="454" spans="2:2" x14ac:dyDescent="0.25">
      <c r="B454" s="7"/>
    </row>
    <row r="455" spans="2:2" x14ac:dyDescent="0.25">
      <c r="B455" s="7"/>
    </row>
    <row r="456" spans="2:2" x14ac:dyDescent="0.25">
      <c r="B456" s="7"/>
    </row>
    <row r="457" spans="2:2" x14ac:dyDescent="0.25">
      <c r="B457" s="7"/>
    </row>
    <row r="458" spans="2:2" x14ac:dyDescent="0.25">
      <c r="B458" s="7"/>
    </row>
    <row r="459" spans="2:2" x14ac:dyDescent="0.25">
      <c r="B459" s="7"/>
    </row>
    <row r="460" spans="2:2" x14ac:dyDescent="0.25">
      <c r="B460" s="7"/>
    </row>
    <row r="461" spans="2:2" x14ac:dyDescent="0.25">
      <c r="B461" s="7"/>
    </row>
    <row r="462" spans="2:2" x14ac:dyDescent="0.25">
      <c r="B462" s="7"/>
    </row>
    <row r="463" spans="2:2" x14ac:dyDescent="0.25">
      <c r="B463" s="7"/>
    </row>
    <row r="464" spans="2:2" x14ac:dyDescent="0.25">
      <c r="B464" s="7"/>
    </row>
    <row r="465" spans="2:2" x14ac:dyDescent="0.25">
      <c r="B465" s="7"/>
    </row>
    <row r="466" spans="2:2" x14ac:dyDescent="0.25">
      <c r="B466" s="7"/>
    </row>
    <row r="467" spans="2:2" x14ac:dyDescent="0.25">
      <c r="B467" s="7"/>
    </row>
    <row r="468" spans="2:2" x14ac:dyDescent="0.25">
      <c r="B468" s="7"/>
    </row>
    <row r="469" spans="2:2" x14ac:dyDescent="0.25">
      <c r="B469" s="7"/>
    </row>
    <row r="470" spans="2:2" x14ac:dyDescent="0.25">
      <c r="B470" s="7"/>
    </row>
    <row r="471" spans="2:2" x14ac:dyDescent="0.25">
      <c r="B471" s="7"/>
    </row>
    <row r="472" spans="2:2" x14ac:dyDescent="0.25">
      <c r="B472" s="7"/>
    </row>
    <row r="473" spans="2:2" x14ac:dyDescent="0.25">
      <c r="B473" s="7"/>
    </row>
    <row r="474" spans="2:2" x14ac:dyDescent="0.25">
      <c r="B474" s="7"/>
    </row>
    <row r="475" spans="2:2" x14ac:dyDescent="0.25">
      <c r="B475" s="7"/>
    </row>
    <row r="476" spans="2:2" x14ac:dyDescent="0.25">
      <c r="B476" s="7"/>
    </row>
    <row r="477" spans="2:2" x14ac:dyDescent="0.25">
      <c r="B477" s="7"/>
    </row>
    <row r="478" spans="2:2" x14ac:dyDescent="0.25">
      <c r="B478" s="7"/>
    </row>
    <row r="479" spans="2:2" x14ac:dyDescent="0.25">
      <c r="B479" s="7"/>
    </row>
    <row r="480" spans="2:2" x14ac:dyDescent="0.25">
      <c r="B480" s="7"/>
    </row>
    <row r="481" spans="2:2" x14ac:dyDescent="0.25">
      <c r="B481" s="7"/>
    </row>
    <row r="482" spans="2:2" x14ac:dyDescent="0.25">
      <c r="B482" s="7"/>
    </row>
    <row r="483" spans="2:2" x14ac:dyDescent="0.25">
      <c r="B483" s="7"/>
    </row>
    <row r="484" spans="2:2" x14ac:dyDescent="0.25">
      <c r="B484" s="7"/>
    </row>
    <row r="485" spans="2:2" x14ac:dyDescent="0.25">
      <c r="B485" s="7"/>
    </row>
    <row r="486" spans="2:2" x14ac:dyDescent="0.25">
      <c r="B486" s="7"/>
    </row>
    <row r="487" spans="2:2" x14ac:dyDescent="0.25">
      <c r="B487" s="7"/>
    </row>
    <row r="488" spans="2:2" x14ac:dyDescent="0.25">
      <c r="B488" s="7"/>
    </row>
    <row r="489" spans="2:2" x14ac:dyDescent="0.25">
      <c r="B489" s="7"/>
    </row>
    <row r="490" spans="2:2" x14ac:dyDescent="0.25">
      <c r="B490" s="7"/>
    </row>
    <row r="491" spans="2:2" x14ac:dyDescent="0.25">
      <c r="B491" s="7"/>
    </row>
    <row r="492" spans="2:2" x14ac:dyDescent="0.25">
      <c r="B492" s="7"/>
    </row>
    <row r="493" spans="2:2" x14ac:dyDescent="0.25">
      <c r="B493" s="7"/>
    </row>
    <row r="494" spans="2:2" x14ac:dyDescent="0.25">
      <c r="B494" s="7"/>
    </row>
    <row r="495" spans="2:2" x14ac:dyDescent="0.25">
      <c r="B495" s="7"/>
    </row>
    <row r="496" spans="2:2" x14ac:dyDescent="0.25">
      <c r="B496" s="7"/>
    </row>
    <row r="497" spans="2:2" x14ac:dyDescent="0.25">
      <c r="B497" s="7"/>
    </row>
    <row r="498" spans="2:2" x14ac:dyDescent="0.25">
      <c r="B498" s="7"/>
    </row>
    <row r="499" spans="2:2" x14ac:dyDescent="0.25">
      <c r="B499" s="7"/>
    </row>
    <row r="500" spans="2:2" x14ac:dyDescent="0.25">
      <c r="B500" s="7"/>
    </row>
    <row r="501" spans="2:2" x14ac:dyDescent="0.25">
      <c r="B501" s="7"/>
    </row>
    <row r="502" spans="2:2" x14ac:dyDescent="0.25">
      <c r="B502" s="7"/>
    </row>
    <row r="503" spans="2:2" x14ac:dyDescent="0.25">
      <c r="B503" s="7"/>
    </row>
    <row r="504" spans="2:2" x14ac:dyDescent="0.25">
      <c r="B504" s="7"/>
    </row>
    <row r="505" spans="2:2" x14ac:dyDescent="0.25">
      <c r="B505" s="7"/>
    </row>
    <row r="506" spans="2:2" x14ac:dyDescent="0.25">
      <c r="B506" s="7"/>
    </row>
    <row r="507" spans="2:2" x14ac:dyDescent="0.25">
      <c r="B507" s="7"/>
    </row>
    <row r="508" spans="2:2" x14ac:dyDescent="0.25">
      <c r="B508" s="7"/>
    </row>
    <row r="509" spans="2:2" x14ac:dyDescent="0.25">
      <c r="B509" s="7"/>
    </row>
    <row r="510" spans="2:2" x14ac:dyDescent="0.25">
      <c r="B510" s="7"/>
    </row>
    <row r="511" spans="2:2" x14ac:dyDescent="0.25">
      <c r="B511" s="7"/>
    </row>
    <row r="512" spans="2:2" x14ac:dyDescent="0.25">
      <c r="B512" s="7"/>
    </row>
    <row r="513" spans="2:2" x14ac:dyDescent="0.25">
      <c r="B513" s="7"/>
    </row>
    <row r="514" spans="2:2" x14ac:dyDescent="0.25">
      <c r="B514" s="7"/>
    </row>
    <row r="515" spans="2:2" x14ac:dyDescent="0.25">
      <c r="B515" s="7"/>
    </row>
    <row r="516" spans="2:2" x14ac:dyDescent="0.25">
      <c r="B516" s="7"/>
    </row>
    <row r="517" spans="2:2" x14ac:dyDescent="0.25">
      <c r="B517" s="7"/>
    </row>
    <row r="518" spans="2:2" x14ac:dyDescent="0.25">
      <c r="B518" s="7"/>
    </row>
    <row r="519" spans="2:2" x14ac:dyDescent="0.25">
      <c r="B519" s="7"/>
    </row>
    <row r="520" spans="2:2" x14ac:dyDescent="0.25">
      <c r="B520" s="7"/>
    </row>
    <row r="521" spans="2:2" x14ac:dyDescent="0.25">
      <c r="B521" s="7"/>
    </row>
    <row r="522" spans="2:2" x14ac:dyDescent="0.25">
      <c r="B522" s="7"/>
    </row>
    <row r="523" spans="2:2" x14ac:dyDescent="0.25">
      <c r="B523" s="7"/>
    </row>
    <row r="524" spans="2:2" x14ac:dyDescent="0.25">
      <c r="B524" s="7"/>
    </row>
    <row r="525" spans="2:2" x14ac:dyDescent="0.25">
      <c r="B525" s="7"/>
    </row>
    <row r="526" spans="2:2" x14ac:dyDescent="0.25">
      <c r="B526" s="7"/>
    </row>
    <row r="527" spans="2:2" x14ac:dyDescent="0.25">
      <c r="B527" s="7"/>
    </row>
    <row r="528" spans="2:2" x14ac:dyDescent="0.25">
      <c r="B528" s="7"/>
    </row>
    <row r="529" spans="2:2" x14ac:dyDescent="0.25">
      <c r="B529" s="7"/>
    </row>
    <row r="530" spans="2:2" x14ac:dyDescent="0.25">
      <c r="B530" s="7"/>
    </row>
    <row r="531" spans="2:2" x14ac:dyDescent="0.25">
      <c r="B531" s="7"/>
    </row>
    <row r="532" spans="2:2" x14ac:dyDescent="0.25">
      <c r="B532" s="7"/>
    </row>
    <row r="533" spans="2:2" x14ac:dyDescent="0.25">
      <c r="B533" s="7"/>
    </row>
    <row r="534" spans="2:2" x14ac:dyDescent="0.25">
      <c r="B534" s="7"/>
    </row>
    <row r="535" spans="2:2" x14ac:dyDescent="0.25">
      <c r="B535" s="7"/>
    </row>
    <row r="536" spans="2:2" x14ac:dyDescent="0.25">
      <c r="B536" s="7"/>
    </row>
    <row r="537" spans="2:2" x14ac:dyDescent="0.25">
      <c r="B537" s="7"/>
    </row>
    <row r="538" spans="2:2" x14ac:dyDescent="0.25">
      <c r="B538" s="7"/>
    </row>
    <row r="539" spans="2:2" x14ac:dyDescent="0.25">
      <c r="B539" s="7"/>
    </row>
    <row r="540" spans="2:2" x14ac:dyDescent="0.25">
      <c r="B540" s="7"/>
    </row>
    <row r="541" spans="2:2" x14ac:dyDescent="0.25">
      <c r="B541" s="7"/>
    </row>
    <row r="542" spans="2:2" x14ac:dyDescent="0.25">
      <c r="B542" s="7"/>
    </row>
    <row r="543" spans="2:2" x14ac:dyDescent="0.25">
      <c r="B543" s="7"/>
    </row>
    <row r="544" spans="2:2" x14ac:dyDescent="0.25">
      <c r="B544" s="7"/>
    </row>
    <row r="545" spans="2:2" x14ac:dyDescent="0.25">
      <c r="B545" s="7"/>
    </row>
    <row r="546" spans="2:2" x14ac:dyDescent="0.25">
      <c r="B546" s="7"/>
    </row>
    <row r="547" spans="2:2" x14ac:dyDescent="0.25">
      <c r="B547" s="7"/>
    </row>
    <row r="548" spans="2:2" x14ac:dyDescent="0.25">
      <c r="B548" s="7"/>
    </row>
    <row r="549" spans="2:2" x14ac:dyDescent="0.25">
      <c r="B549" s="7"/>
    </row>
    <row r="550" spans="2:2" x14ac:dyDescent="0.25">
      <c r="B550" s="7"/>
    </row>
    <row r="551" spans="2:2" x14ac:dyDescent="0.25">
      <c r="B551" s="7"/>
    </row>
    <row r="552" spans="2:2" x14ac:dyDescent="0.25">
      <c r="B552" s="7"/>
    </row>
    <row r="553" spans="2:2" x14ac:dyDescent="0.25">
      <c r="B553" s="7"/>
    </row>
    <row r="554" spans="2:2" x14ac:dyDescent="0.25">
      <c r="B554" s="7"/>
    </row>
    <row r="555" spans="2:2" x14ac:dyDescent="0.25">
      <c r="B555" s="7"/>
    </row>
    <row r="556" spans="2:2" x14ac:dyDescent="0.25">
      <c r="B556" s="7"/>
    </row>
    <row r="557" spans="2:2" x14ac:dyDescent="0.25">
      <c r="B557" s="7"/>
    </row>
    <row r="558" spans="2:2" x14ac:dyDescent="0.25">
      <c r="B558" s="7"/>
    </row>
    <row r="559" spans="2:2" x14ac:dyDescent="0.25">
      <c r="B559" s="7"/>
    </row>
    <row r="560" spans="2:2" x14ac:dyDescent="0.25">
      <c r="B560" s="7"/>
    </row>
    <row r="561" spans="2:2" x14ac:dyDescent="0.25">
      <c r="B561" s="7"/>
    </row>
    <row r="562" spans="2:2" x14ac:dyDescent="0.25">
      <c r="B562" s="7"/>
    </row>
    <row r="563" spans="2:2" x14ac:dyDescent="0.25">
      <c r="B563" s="7"/>
    </row>
    <row r="564" spans="2:2" x14ac:dyDescent="0.25">
      <c r="B564" s="7"/>
    </row>
    <row r="565" spans="2:2" x14ac:dyDescent="0.25">
      <c r="B565" s="7"/>
    </row>
    <row r="566" spans="2:2" x14ac:dyDescent="0.25">
      <c r="B566" s="7"/>
    </row>
    <row r="567" spans="2:2" x14ac:dyDescent="0.25">
      <c r="B567" s="7"/>
    </row>
    <row r="568" spans="2:2" x14ac:dyDescent="0.25">
      <c r="B568" s="7"/>
    </row>
    <row r="569" spans="2:2" x14ac:dyDescent="0.25">
      <c r="B569" s="7"/>
    </row>
    <row r="570" spans="2:2" x14ac:dyDescent="0.25">
      <c r="B570" s="7"/>
    </row>
    <row r="571" spans="2:2" x14ac:dyDescent="0.25">
      <c r="B571" s="7"/>
    </row>
    <row r="572" spans="2:2" x14ac:dyDescent="0.25">
      <c r="B572" s="7"/>
    </row>
    <row r="573" spans="2:2" x14ac:dyDescent="0.25">
      <c r="B573" s="7"/>
    </row>
    <row r="574" spans="2:2" x14ac:dyDescent="0.25">
      <c r="B574" s="7"/>
    </row>
    <row r="575" spans="2:2" x14ac:dyDescent="0.25">
      <c r="B575" s="7"/>
    </row>
    <row r="576" spans="2:2" x14ac:dyDescent="0.25">
      <c r="B576" s="7"/>
    </row>
    <row r="577" spans="2:2" x14ac:dyDescent="0.25">
      <c r="B577" s="7"/>
    </row>
    <row r="578" spans="2:2" x14ac:dyDescent="0.25">
      <c r="B578" s="7"/>
    </row>
    <row r="579" spans="2:2" x14ac:dyDescent="0.25">
      <c r="B579" s="7"/>
    </row>
    <row r="580" spans="2:2" x14ac:dyDescent="0.25">
      <c r="B580" s="7"/>
    </row>
    <row r="581" spans="2:2" x14ac:dyDescent="0.25">
      <c r="B581" s="7"/>
    </row>
    <row r="582" spans="2:2" x14ac:dyDescent="0.25">
      <c r="B582" s="7"/>
    </row>
    <row r="583" spans="2:2" x14ac:dyDescent="0.25">
      <c r="B583" s="7"/>
    </row>
    <row r="584" spans="2:2" x14ac:dyDescent="0.25">
      <c r="B584" s="7"/>
    </row>
    <row r="585" spans="2:2" x14ac:dyDescent="0.25">
      <c r="B585" s="7"/>
    </row>
    <row r="586" spans="2:2" x14ac:dyDescent="0.25">
      <c r="B586" s="7"/>
    </row>
    <row r="587" spans="2:2" x14ac:dyDescent="0.25">
      <c r="B587" s="7"/>
    </row>
    <row r="588" spans="2:2" x14ac:dyDescent="0.25">
      <c r="B588" s="7"/>
    </row>
    <row r="589" spans="2:2" x14ac:dyDescent="0.25">
      <c r="B589" s="7"/>
    </row>
    <row r="590" spans="2:2" x14ac:dyDescent="0.25">
      <c r="B590" s="7"/>
    </row>
    <row r="591" spans="2:2" x14ac:dyDescent="0.25">
      <c r="B591" s="7"/>
    </row>
    <row r="592" spans="2:2" x14ac:dyDescent="0.25">
      <c r="B592" s="7"/>
    </row>
    <row r="593" spans="2:2" x14ac:dyDescent="0.25">
      <c r="B593" s="7"/>
    </row>
    <row r="594" spans="2:2" x14ac:dyDescent="0.25">
      <c r="B594" s="7"/>
    </row>
    <row r="595" spans="2:2" x14ac:dyDescent="0.25">
      <c r="B595" s="7"/>
    </row>
    <row r="596" spans="2:2" x14ac:dyDescent="0.25">
      <c r="B596" s="7"/>
    </row>
    <row r="597" spans="2:2" x14ac:dyDescent="0.25">
      <c r="B597" s="7"/>
    </row>
    <row r="598" spans="2:2" x14ac:dyDescent="0.25">
      <c r="B598" s="7"/>
    </row>
    <row r="599" spans="2:2" x14ac:dyDescent="0.25">
      <c r="B599" s="7"/>
    </row>
    <row r="600" spans="2:2" x14ac:dyDescent="0.25">
      <c r="B600" s="7"/>
    </row>
    <row r="601" spans="2:2" x14ac:dyDescent="0.25">
      <c r="B601" s="7"/>
    </row>
    <row r="602" spans="2:2" x14ac:dyDescent="0.25">
      <c r="B602" s="7"/>
    </row>
    <row r="603" spans="2:2" x14ac:dyDescent="0.25">
      <c r="B603" s="7"/>
    </row>
    <row r="604" spans="2:2" x14ac:dyDescent="0.25">
      <c r="B604" s="7"/>
    </row>
    <row r="605" spans="2:2" x14ac:dyDescent="0.25">
      <c r="B605" s="7"/>
    </row>
    <row r="606" spans="2:2" x14ac:dyDescent="0.25">
      <c r="B606" s="7"/>
    </row>
    <row r="607" spans="2:2" x14ac:dyDescent="0.25">
      <c r="B607" s="7"/>
    </row>
    <row r="608" spans="2:2" x14ac:dyDescent="0.25">
      <c r="B608" s="7"/>
    </row>
    <row r="609" spans="2:2" x14ac:dyDescent="0.25">
      <c r="B609" s="7"/>
    </row>
    <row r="610" spans="2:2" x14ac:dyDescent="0.25">
      <c r="B610" s="7"/>
    </row>
    <row r="611" spans="2:2" x14ac:dyDescent="0.25">
      <c r="B611" s="7"/>
    </row>
    <row r="612" spans="2:2" x14ac:dyDescent="0.25">
      <c r="B612" s="7"/>
    </row>
    <row r="613" spans="2:2" x14ac:dyDescent="0.25">
      <c r="B613" s="7"/>
    </row>
    <row r="614" spans="2:2" x14ac:dyDescent="0.25">
      <c r="B614" s="7"/>
    </row>
    <row r="615" spans="2:2" x14ac:dyDescent="0.25">
      <c r="B615" s="7"/>
    </row>
    <row r="616" spans="2:2" x14ac:dyDescent="0.25">
      <c r="B616" s="7"/>
    </row>
    <row r="617" spans="2:2" x14ac:dyDescent="0.25">
      <c r="B617" s="7"/>
    </row>
    <row r="618" spans="2:2" x14ac:dyDescent="0.25">
      <c r="B618" s="7"/>
    </row>
    <row r="619" spans="2:2" x14ac:dyDescent="0.25">
      <c r="B619" s="7"/>
    </row>
    <row r="620" spans="2:2" x14ac:dyDescent="0.25">
      <c r="B620" s="7"/>
    </row>
    <row r="621" spans="2:2" x14ac:dyDescent="0.25">
      <c r="B621" s="7"/>
    </row>
    <row r="622" spans="2:2" x14ac:dyDescent="0.25">
      <c r="B622" s="7"/>
    </row>
    <row r="623" spans="2:2" x14ac:dyDescent="0.25">
      <c r="B623" s="7"/>
    </row>
    <row r="624" spans="2:2" x14ac:dyDescent="0.25">
      <c r="B624" s="7"/>
    </row>
    <row r="625" spans="2:2" x14ac:dyDescent="0.25">
      <c r="B625" s="7"/>
    </row>
    <row r="626" spans="2:2" x14ac:dyDescent="0.25">
      <c r="B626" s="7"/>
    </row>
    <row r="627" spans="2:2" x14ac:dyDescent="0.25">
      <c r="B627" s="7"/>
    </row>
    <row r="628" spans="2:2" x14ac:dyDescent="0.25">
      <c r="B628" s="7"/>
    </row>
    <row r="629" spans="2:2" x14ac:dyDescent="0.25">
      <c r="B629" s="7"/>
    </row>
    <row r="630" spans="2:2" x14ac:dyDescent="0.25">
      <c r="B630" s="7"/>
    </row>
    <row r="631" spans="2:2" x14ac:dyDescent="0.25">
      <c r="B631" s="7"/>
    </row>
    <row r="632" spans="2:2" x14ac:dyDescent="0.25">
      <c r="B632" s="7"/>
    </row>
    <row r="633" spans="2:2" x14ac:dyDescent="0.25">
      <c r="B633" s="7"/>
    </row>
    <row r="634" spans="2:2" x14ac:dyDescent="0.25">
      <c r="B634" s="7"/>
    </row>
    <row r="635" spans="2:2" x14ac:dyDescent="0.25">
      <c r="B635" s="7"/>
    </row>
    <row r="636" spans="2:2" x14ac:dyDescent="0.25">
      <c r="B636" s="7"/>
    </row>
    <row r="637" spans="2:2" x14ac:dyDescent="0.25">
      <c r="B637" s="7"/>
    </row>
    <row r="638" spans="2:2" x14ac:dyDescent="0.25">
      <c r="B638" s="7"/>
    </row>
    <row r="639" spans="2:2" x14ac:dyDescent="0.25">
      <c r="B639" s="7"/>
    </row>
    <row r="640" spans="2:2" x14ac:dyDescent="0.25">
      <c r="B640" s="7"/>
    </row>
    <row r="641" spans="2:2" x14ac:dyDescent="0.25">
      <c r="B641" s="7"/>
    </row>
    <row r="642" spans="2:2" x14ac:dyDescent="0.25">
      <c r="B642" s="7"/>
    </row>
    <row r="643" spans="2:2" x14ac:dyDescent="0.25">
      <c r="B643" s="7"/>
    </row>
    <row r="644" spans="2:2" x14ac:dyDescent="0.25">
      <c r="B644" s="7"/>
    </row>
    <row r="645" spans="2:2" x14ac:dyDescent="0.25">
      <c r="B645" s="7"/>
    </row>
    <row r="646" spans="2:2" x14ac:dyDescent="0.25">
      <c r="B646" s="7"/>
    </row>
    <row r="647" spans="2:2" x14ac:dyDescent="0.25">
      <c r="B647" s="7"/>
    </row>
    <row r="648" spans="2:2" x14ac:dyDescent="0.25">
      <c r="B648" s="7"/>
    </row>
    <row r="649" spans="2:2" x14ac:dyDescent="0.25">
      <c r="B649" s="7"/>
    </row>
    <row r="650" spans="2:2" x14ac:dyDescent="0.25">
      <c r="B650" s="7"/>
    </row>
    <row r="651" spans="2:2" x14ac:dyDescent="0.25">
      <c r="B651" s="7"/>
    </row>
    <row r="652" spans="2:2" x14ac:dyDescent="0.25">
      <c r="B652" s="7"/>
    </row>
    <row r="653" spans="2:2" x14ac:dyDescent="0.25">
      <c r="B653" s="7"/>
    </row>
    <row r="654" spans="2:2" x14ac:dyDescent="0.25">
      <c r="B654" s="7"/>
    </row>
    <row r="655" spans="2:2" x14ac:dyDescent="0.25">
      <c r="B655" s="7"/>
    </row>
    <row r="656" spans="2:2" x14ac:dyDescent="0.25">
      <c r="B656" s="7"/>
    </row>
    <row r="657" spans="2:2" x14ac:dyDescent="0.25">
      <c r="B657" s="7"/>
    </row>
    <row r="658" spans="2:2" x14ac:dyDescent="0.25">
      <c r="B658" s="7"/>
    </row>
    <row r="659" spans="2:2" x14ac:dyDescent="0.25">
      <c r="B659" s="7"/>
    </row>
    <row r="660" spans="2:2" x14ac:dyDescent="0.25">
      <c r="B660" s="7"/>
    </row>
    <row r="661" spans="2:2" x14ac:dyDescent="0.25">
      <c r="B661" s="7"/>
    </row>
    <row r="662" spans="2:2" x14ac:dyDescent="0.25">
      <c r="B662" s="7"/>
    </row>
    <row r="663" spans="2:2" x14ac:dyDescent="0.25">
      <c r="B663" s="7"/>
    </row>
    <row r="664" spans="2:2" x14ac:dyDescent="0.25">
      <c r="B664" s="7"/>
    </row>
    <row r="665" spans="2:2" x14ac:dyDescent="0.25">
      <c r="B665" s="7"/>
    </row>
    <row r="666" spans="2:2" x14ac:dyDescent="0.25">
      <c r="B666" s="7"/>
    </row>
    <row r="667" spans="2:2" x14ac:dyDescent="0.25">
      <c r="B667" s="7"/>
    </row>
    <row r="668" spans="2:2" x14ac:dyDescent="0.25">
      <c r="B668" s="7"/>
    </row>
    <row r="669" spans="2:2" x14ac:dyDescent="0.25">
      <c r="B669" s="7"/>
    </row>
    <row r="670" spans="2:2" x14ac:dyDescent="0.25">
      <c r="B670" s="7"/>
    </row>
    <row r="671" spans="2:2" x14ac:dyDescent="0.25">
      <c r="B671" s="7"/>
    </row>
    <row r="672" spans="2:2" x14ac:dyDescent="0.25">
      <c r="B672" s="7"/>
    </row>
    <row r="673" spans="2:2" x14ac:dyDescent="0.25">
      <c r="B673" s="7"/>
    </row>
    <row r="674" spans="2:2" x14ac:dyDescent="0.25">
      <c r="B674" s="7"/>
    </row>
    <row r="675" spans="2:2" x14ac:dyDescent="0.25">
      <c r="B675" s="7"/>
    </row>
    <row r="676" spans="2:2" x14ac:dyDescent="0.25">
      <c r="B676" s="7"/>
    </row>
    <row r="677" spans="2:2" x14ac:dyDescent="0.25">
      <c r="B677" s="7"/>
    </row>
    <row r="678" spans="2:2" x14ac:dyDescent="0.25">
      <c r="B678" s="7"/>
    </row>
    <row r="679" spans="2:2" x14ac:dyDescent="0.25">
      <c r="B679" s="7"/>
    </row>
    <row r="680" spans="2:2" x14ac:dyDescent="0.25">
      <c r="B680" s="7"/>
    </row>
    <row r="681" spans="2:2" x14ac:dyDescent="0.25">
      <c r="B681" s="7"/>
    </row>
    <row r="682" spans="2:2" x14ac:dyDescent="0.25">
      <c r="B682" s="7"/>
    </row>
    <row r="683" spans="2:2" x14ac:dyDescent="0.25">
      <c r="B683" s="7"/>
    </row>
    <row r="684" spans="2:2" x14ac:dyDescent="0.25">
      <c r="B684" s="7"/>
    </row>
    <row r="685" spans="2:2" x14ac:dyDescent="0.25">
      <c r="B685" s="7"/>
    </row>
    <row r="686" spans="2:2" x14ac:dyDescent="0.25">
      <c r="B686" s="7"/>
    </row>
    <row r="687" spans="2:2" x14ac:dyDescent="0.25">
      <c r="B687" s="7"/>
    </row>
    <row r="688" spans="2:2" x14ac:dyDescent="0.25">
      <c r="B688" s="7"/>
    </row>
    <row r="689" spans="2:2" x14ac:dyDescent="0.25">
      <c r="B689" s="7"/>
    </row>
    <row r="690" spans="2:2" x14ac:dyDescent="0.25">
      <c r="B690" s="7"/>
    </row>
    <row r="691" spans="2:2" x14ac:dyDescent="0.25">
      <c r="B691" s="7"/>
    </row>
    <row r="692" spans="2:2" x14ac:dyDescent="0.25">
      <c r="B692" s="7"/>
    </row>
    <row r="693" spans="2:2" x14ac:dyDescent="0.25">
      <c r="B693" s="7"/>
    </row>
    <row r="694" spans="2:2" x14ac:dyDescent="0.25">
      <c r="B694" s="7"/>
    </row>
    <row r="695" spans="2:2" x14ac:dyDescent="0.25">
      <c r="B695" s="7"/>
    </row>
    <row r="696" spans="2:2" x14ac:dyDescent="0.25">
      <c r="B696" s="7"/>
    </row>
    <row r="697" spans="2:2" x14ac:dyDescent="0.25">
      <c r="B697" s="7"/>
    </row>
    <row r="698" spans="2:2" x14ac:dyDescent="0.25">
      <c r="B698" s="7"/>
    </row>
    <row r="699" spans="2:2" x14ac:dyDescent="0.25">
      <c r="B699" s="7"/>
    </row>
    <row r="700" spans="2:2" x14ac:dyDescent="0.25">
      <c r="B700" s="7"/>
    </row>
    <row r="701" spans="2:2" x14ac:dyDescent="0.25">
      <c r="B701" s="7"/>
    </row>
    <row r="702" spans="2:2" x14ac:dyDescent="0.25">
      <c r="B702" s="7"/>
    </row>
    <row r="703" spans="2:2" x14ac:dyDescent="0.25">
      <c r="B703" s="7"/>
    </row>
    <row r="704" spans="2:2" x14ac:dyDescent="0.25">
      <c r="B704" s="7"/>
    </row>
    <row r="705" spans="2:2" x14ac:dyDescent="0.25">
      <c r="B705" s="7"/>
    </row>
    <row r="706" spans="2:2" x14ac:dyDescent="0.25">
      <c r="B706" s="7"/>
    </row>
    <row r="707" spans="2:2" x14ac:dyDescent="0.25">
      <c r="B707" s="7"/>
    </row>
    <row r="708" spans="2:2" x14ac:dyDescent="0.25">
      <c r="B708" s="7"/>
    </row>
    <row r="709" spans="2:2" x14ac:dyDescent="0.25">
      <c r="B709" s="7"/>
    </row>
    <row r="710" spans="2:2" x14ac:dyDescent="0.25">
      <c r="B710" s="7"/>
    </row>
    <row r="711" spans="2:2" x14ac:dyDescent="0.25">
      <c r="B711" s="7"/>
    </row>
    <row r="712" spans="2:2" x14ac:dyDescent="0.25">
      <c r="B712" s="7"/>
    </row>
    <row r="713" spans="2:2" x14ac:dyDescent="0.25">
      <c r="B713" s="7"/>
    </row>
    <row r="714" spans="2:2" x14ac:dyDescent="0.25">
      <c r="B714" s="7"/>
    </row>
    <row r="715" spans="2:2" x14ac:dyDescent="0.25">
      <c r="B715" s="7"/>
    </row>
    <row r="716" spans="2:2" x14ac:dyDescent="0.25">
      <c r="B716" s="7"/>
    </row>
    <row r="717" spans="2:2" x14ac:dyDescent="0.25">
      <c r="B717" s="7"/>
    </row>
    <row r="718" spans="2:2" x14ac:dyDescent="0.25">
      <c r="B718" s="7"/>
    </row>
    <row r="719" spans="2:2" x14ac:dyDescent="0.25">
      <c r="B719" s="7"/>
    </row>
    <row r="720" spans="2:2" x14ac:dyDescent="0.25">
      <c r="B720" s="7"/>
    </row>
    <row r="721" spans="2:2" x14ac:dyDescent="0.25">
      <c r="B721" s="7"/>
    </row>
    <row r="722" spans="2:2" x14ac:dyDescent="0.25">
      <c r="B722" s="7"/>
    </row>
    <row r="723" spans="2:2" x14ac:dyDescent="0.25">
      <c r="B723" s="7"/>
    </row>
    <row r="724" spans="2:2" x14ac:dyDescent="0.25">
      <c r="B724" s="7"/>
    </row>
    <row r="725" spans="2:2" x14ac:dyDescent="0.25">
      <c r="B725" s="7"/>
    </row>
    <row r="726" spans="2:2" x14ac:dyDescent="0.25">
      <c r="B726" s="7"/>
    </row>
    <row r="727" spans="2:2" x14ac:dyDescent="0.25">
      <c r="B727" s="7"/>
    </row>
    <row r="728" spans="2:2" x14ac:dyDescent="0.25">
      <c r="B728" s="7"/>
    </row>
    <row r="729" spans="2:2" x14ac:dyDescent="0.25">
      <c r="B729" s="7"/>
    </row>
    <row r="730" spans="2:2" x14ac:dyDescent="0.25">
      <c r="B730" s="7"/>
    </row>
    <row r="731" spans="2:2" x14ac:dyDescent="0.25">
      <c r="B731" s="7"/>
    </row>
    <row r="732" spans="2:2" x14ac:dyDescent="0.25">
      <c r="B732" s="7"/>
    </row>
    <row r="733" spans="2:2" x14ac:dyDescent="0.25">
      <c r="B733" s="7"/>
    </row>
    <row r="734" spans="2:2" x14ac:dyDescent="0.25">
      <c r="B734" s="7"/>
    </row>
    <row r="735" spans="2:2" x14ac:dyDescent="0.25">
      <c r="B735" s="7"/>
    </row>
    <row r="736" spans="2:2" x14ac:dyDescent="0.25">
      <c r="B736" s="7"/>
    </row>
    <row r="737" spans="2:2" x14ac:dyDescent="0.25">
      <c r="B737" s="7"/>
    </row>
    <row r="738" spans="2:2" x14ac:dyDescent="0.25">
      <c r="B738" s="7"/>
    </row>
    <row r="739" spans="2:2" x14ac:dyDescent="0.25">
      <c r="B739" s="7"/>
    </row>
    <row r="740" spans="2:2" x14ac:dyDescent="0.25">
      <c r="B740" s="7"/>
    </row>
    <row r="741" spans="2:2" x14ac:dyDescent="0.25">
      <c r="B741" s="7"/>
    </row>
    <row r="742" spans="2:2" x14ac:dyDescent="0.25">
      <c r="B742" s="7"/>
    </row>
    <row r="743" spans="2:2" x14ac:dyDescent="0.25">
      <c r="B743" s="7"/>
    </row>
    <row r="744" spans="2:2" x14ac:dyDescent="0.25">
      <c r="B744" s="7"/>
    </row>
    <row r="745" spans="2:2" x14ac:dyDescent="0.25">
      <c r="B745" s="7"/>
    </row>
    <row r="746" spans="2:2" x14ac:dyDescent="0.25">
      <c r="B746" s="7"/>
    </row>
    <row r="747" spans="2:2" x14ac:dyDescent="0.25">
      <c r="B747" s="7"/>
    </row>
    <row r="748" spans="2:2" x14ac:dyDescent="0.25">
      <c r="B748" s="7"/>
    </row>
    <row r="749" spans="2:2" x14ac:dyDescent="0.25">
      <c r="B749" s="7"/>
    </row>
    <row r="750" spans="2:2" x14ac:dyDescent="0.25">
      <c r="B750" s="7"/>
    </row>
    <row r="751" spans="2:2" x14ac:dyDescent="0.25">
      <c r="B751" s="7"/>
    </row>
    <row r="752" spans="2:2" x14ac:dyDescent="0.25">
      <c r="B752" s="7"/>
    </row>
    <row r="753" spans="2:2" x14ac:dyDescent="0.25">
      <c r="B753" s="7"/>
    </row>
    <row r="754" spans="2:2" x14ac:dyDescent="0.25">
      <c r="B754" s="7"/>
    </row>
    <row r="755" spans="2:2" x14ac:dyDescent="0.25">
      <c r="B755" s="7"/>
    </row>
    <row r="756" spans="2:2" x14ac:dyDescent="0.25">
      <c r="B756" s="7"/>
    </row>
    <row r="757" spans="2:2" x14ac:dyDescent="0.25">
      <c r="B757" s="7"/>
    </row>
    <row r="758" spans="2:2" x14ac:dyDescent="0.25">
      <c r="B758" s="7"/>
    </row>
    <row r="759" spans="2:2" x14ac:dyDescent="0.25">
      <c r="B759" s="7"/>
    </row>
    <row r="760" spans="2:2" x14ac:dyDescent="0.25">
      <c r="B760" s="7"/>
    </row>
    <row r="761" spans="2:2" x14ac:dyDescent="0.25">
      <c r="B761" s="7"/>
    </row>
    <row r="762" spans="2:2" x14ac:dyDescent="0.25">
      <c r="B762" s="7"/>
    </row>
    <row r="763" spans="2:2" x14ac:dyDescent="0.25">
      <c r="B763" s="7"/>
    </row>
    <row r="764" spans="2:2" x14ac:dyDescent="0.25">
      <c r="B764" s="7"/>
    </row>
    <row r="765" spans="2:2" x14ac:dyDescent="0.25">
      <c r="B765" s="7"/>
    </row>
    <row r="766" spans="2:2" x14ac:dyDescent="0.25">
      <c r="B766" s="7"/>
    </row>
    <row r="767" spans="2:2" x14ac:dyDescent="0.25">
      <c r="B767" s="7"/>
    </row>
    <row r="768" spans="2:2" x14ac:dyDescent="0.25">
      <c r="B768" s="7"/>
    </row>
    <row r="769" spans="2:2" x14ac:dyDescent="0.25">
      <c r="B769" s="7"/>
    </row>
    <row r="770" spans="2:2" x14ac:dyDescent="0.25">
      <c r="B770" s="7"/>
    </row>
    <row r="771" spans="2:2" x14ac:dyDescent="0.25">
      <c r="B771" s="7"/>
    </row>
    <row r="772" spans="2:2" x14ac:dyDescent="0.25">
      <c r="B772" s="7"/>
    </row>
    <row r="773" spans="2:2" x14ac:dyDescent="0.25">
      <c r="B773" s="7"/>
    </row>
    <row r="774" spans="2:2" x14ac:dyDescent="0.25">
      <c r="B774" s="7"/>
    </row>
    <row r="775" spans="2:2" x14ac:dyDescent="0.25">
      <c r="B775" s="7"/>
    </row>
    <row r="776" spans="2:2" x14ac:dyDescent="0.25">
      <c r="B776" s="7"/>
    </row>
    <row r="777" spans="2:2" x14ac:dyDescent="0.25">
      <c r="B777" s="7"/>
    </row>
    <row r="778" spans="2:2" x14ac:dyDescent="0.25">
      <c r="B778" s="7"/>
    </row>
    <row r="779" spans="2:2" x14ac:dyDescent="0.25">
      <c r="B779" s="7"/>
    </row>
    <row r="780" spans="2:2" x14ac:dyDescent="0.25">
      <c r="B780" s="7"/>
    </row>
    <row r="781" spans="2:2" x14ac:dyDescent="0.25">
      <c r="B781" s="7"/>
    </row>
    <row r="782" spans="2:2" x14ac:dyDescent="0.25">
      <c r="B782" s="7"/>
    </row>
    <row r="783" spans="2:2" x14ac:dyDescent="0.25">
      <c r="B783" s="7"/>
    </row>
    <row r="784" spans="2:2" x14ac:dyDescent="0.25">
      <c r="B784" s="7"/>
    </row>
    <row r="785" spans="2:2" x14ac:dyDescent="0.25">
      <c r="B785" s="7"/>
    </row>
    <row r="786" spans="2:2" x14ac:dyDescent="0.25">
      <c r="B786" s="7"/>
    </row>
    <row r="787" spans="2:2" x14ac:dyDescent="0.25">
      <c r="B787" s="7"/>
    </row>
    <row r="788" spans="2:2" x14ac:dyDescent="0.25">
      <c r="B788" s="7"/>
    </row>
    <row r="789" spans="2:2" x14ac:dyDescent="0.25">
      <c r="B789" s="7"/>
    </row>
    <row r="790" spans="2:2" x14ac:dyDescent="0.25">
      <c r="B790" s="7"/>
    </row>
    <row r="791" spans="2:2" x14ac:dyDescent="0.25">
      <c r="B791" s="7"/>
    </row>
    <row r="792" spans="2:2" x14ac:dyDescent="0.25">
      <c r="B792" s="7"/>
    </row>
    <row r="793" spans="2:2" x14ac:dyDescent="0.25">
      <c r="B793" s="7"/>
    </row>
    <row r="794" spans="2:2" x14ac:dyDescent="0.25">
      <c r="B794" s="7"/>
    </row>
    <row r="795" spans="2:2" x14ac:dyDescent="0.25">
      <c r="B795" s="7"/>
    </row>
    <row r="796" spans="2:2" x14ac:dyDescent="0.25">
      <c r="B796" s="7"/>
    </row>
    <row r="797" spans="2:2" x14ac:dyDescent="0.25">
      <c r="B797" s="7"/>
    </row>
    <row r="798" spans="2:2" x14ac:dyDescent="0.25">
      <c r="B798" s="7"/>
    </row>
    <row r="799" spans="2:2" x14ac:dyDescent="0.25">
      <c r="B799" s="7"/>
    </row>
    <row r="800" spans="2:2" x14ac:dyDescent="0.25">
      <c r="B800" s="7"/>
    </row>
    <row r="801" spans="2:2" x14ac:dyDescent="0.25">
      <c r="B801" s="7"/>
    </row>
    <row r="802" spans="2:2" x14ac:dyDescent="0.25">
      <c r="B802" s="7"/>
    </row>
    <row r="803" spans="2:2" x14ac:dyDescent="0.25">
      <c r="B803" s="7"/>
    </row>
    <row r="804" spans="2:2" x14ac:dyDescent="0.25">
      <c r="B804" s="7"/>
    </row>
    <row r="805" spans="2:2" x14ac:dyDescent="0.25">
      <c r="B805" s="7"/>
    </row>
    <row r="806" spans="2:2" x14ac:dyDescent="0.25">
      <c r="B806" s="7"/>
    </row>
    <row r="807" spans="2:2" x14ac:dyDescent="0.25">
      <c r="B807" s="7"/>
    </row>
    <row r="808" spans="2:2" x14ac:dyDescent="0.25">
      <c r="B808" s="7"/>
    </row>
    <row r="809" spans="2:2" x14ac:dyDescent="0.25">
      <c r="B809" s="7"/>
    </row>
    <row r="810" spans="2:2" x14ac:dyDescent="0.25">
      <c r="B810" s="7"/>
    </row>
    <row r="811" spans="2:2" x14ac:dyDescent="0.25">
      <c r="B811" s="7"/>
    </row>
    <row r="812" spans="2:2" x14ac:dyDescent="0.25">
      <c r="B812" s="7"/>
    </row>
    <row r="813" spans="2:2" x14ac:dyDescent="0.25">
      <c r="B813" s="7"/>
    </row>
    <row r="814" spans="2:2" x14ac:dyDescent="0.25">
      <c r="B814" s="7"/>
    </row>
    <row r="815" spans="2:2" x14ac:dyDescent="0.25">
      <c r="B815" s="7"/>
    </row>
    <row r="816" spans="2:2" x14ac:dyDescent="0.25">
      <c r="B816" s="7"/>
    </row>
    <row r="817" spans="2:2" x14ac:dyDescent="0.25">
      <c r="B817" s="7"/>
    </row>
    <row r="818" spans="2:2" x14ac:dyDescent="0.25">
      <c r="B818" s="7"/>
    </row>
    <row r="819" spans="2:2" x14ac:dyDescent="0.25">
      <c r="B819" s="7"/>
    </row>
    <row r="820" spans="2:2" x14ac:dyDescent="0.25">
      <c r="B820" s="7"/>
    </row>
    <row r="821" spans="2:2" x14ac:dyDescent="0.25">
      <c r="B821" s="7"/>
    </row>
    <row r="822" spans="2:2" x14ac:dyDescent="0.25">
      <c r="B822" s="7"/>
    </row>
    <row r="823" spans="2:2" x14ac:dyDescent="0.25">
      <c r="B823" s="7"/>
    </row>
    <row r="824" spans="2:2" x14ac:dyDescent="0.25">
      <c r="B824" s="7"/>
    </row>
    <row r="825" spans="2:2" x14ac:dyDescent="0.25">
      <c r="B825" s="7"/>
    </row>
    <row r="826" spans="2:2" x14ac:dyDescent="0.25">
      <c r="B826" s="7"/>
    </row>
    <row r="827" spans="2:2" x14ac:dyDescent="0.25">
      <c r="B827" s="7"/>
    </row>
    <row r="828" spans="2:2" x14ac:dyDescent="0.25">
      <c r="B828" s="7"/>
    </row>
    <row r="829" spans="2:2" x14ac:dyDescent="0.25">
      <c r="B829" s="7"/>
    </row>
    <row r="830" spans="2:2" x14ac:dyDescent="0.25">
      <c r="B830" s="7"/>
    </row>
    <row r="831" spans="2:2" x14ac:dyDescent="0.25">
      <c r="B831" s="7"/>
    </row>
    <row r="832" spans="2:2" x14ac:dyDescent="0.25">
      <c r="B832" s="7"/>
    </row>
    <row r="833" spans="2:2" x14ac:dyDescent="0.25">
      <c r="B833" s="7"/>
    </row>
    <row r="834" spans="2:2" x14ac:dyDescent="0.25">
      <c r="B834" s="7"/>
    </row>
    <row r="835" spans="2:2" x14ac:dyDescent="0.25">
      <c r="B835" s="7"/>
    </row>
    <row r="836" spans="2:2" x14ac:dyDescent="0.25">
      <c r="B836" s="7"/>
    </row>
    <row r="837" spans="2:2" x14ac:dyDescent="0.25">
      <c r="B837" s="7"/>
    </row>
    <row r="838" spans="2:2" x14ac:dyDescent="0.25">
      <c r="B838" s="7"/>
    </row>
    <row r="839" spans="2:2" x14ac:dyDescent="0.25">
      <c r="B839" s="7"/>
    </row>
    <row r="840" spans="2:2" x14ac:dyDescent="0.25">
      <c r="B840" s="7"/>
    </row>
    <row r="841" spans="2:2" x14ac:dyDescent="0.25">
      <c r="B841" s="7"/>
    </row>
    <row r="842" spans="2:2" x14ac:dyDescent="0.25">
      <c r="B842" s="7"/>
    </row>
    <row r="843" spans="2:2" x14ac:dyDescent="0.25">
      <c r="B843" s="7"/>
    </row>
    <row r="844" spans="2:2" x14ac:dyDescent="0.25">
      <c r="B844" s="7"/>
    </row>
    <row r="845" spans="2:2" x14ac:dyDescent="0.25">
      <c r="B845" s="7"/>
    </row>
    <row r="846" spans="2:2" x14ac:dyDescent="0.25">
      <c r="B846" s="7"/>
    </row>
    <row r="847" spans="2:2" x14ac:dyDescent="0.25">
      <c r="B847" s="7"/>
    </row>
    <row r="848" spans="2:2" x14ac:dyDescent="0.25">
      <c r="B848" s="7"/>
    </row>
    <row r="849" spans="2:2" x14ac:dyDescent="0.25">
      <c r="B849" s="7"/>
    </row>
    <row r="850" spans="2:2" x14ac:dyDescent="0.25">
      <c r="B850" s="7"/>
    </row>
    <row r="851" spans="2:2" x14ac:dyDescent="0.25">
      <c r="B851" s="7"/>
    </row>
    <row r="852" spans="2:2" x14ac:dyDescent="0.25">
      <c r="B852" s="7"/>
    </row>
    <row r="853" spans="2:2" x14ac:dyDescent="0.25">
      <c r="B853" s="7"/>
    </row>
    <row r="854" spans="2:2" x14ac:dyDescent="0.25">
      <c r="B854" s="7"/>
    </row>
    <row r="855" spans="2:2" x14ac:dyDescent="0.25">
      <c r="B855" s="7"/>
    </row>
    <row r="856" spans="2:2" x14ac:dyDescent="0.25">
      <c r="B856" s="7"/>
    </row>
    <row r="857" spans="2:2" x14ac:dyDescent="0.25">
      <c r="B857" s="7"/>
    </row>
    <row r="858" spans="2:2" x14ac:dyDescent="0.25">
      <c r="B858" s="7"/>
    </row>
    <row r="859" spans="2:2" x14ac:dyDescent="0.25">
      <c r="B859" s="7"/>
    </row>
    <row r="860" spans="2:2" x14ac:dyDescent="0.25">
      <c r="B860" s="7"/>
    </row>
    <row r="861" spans="2:2" x14ac:dyDescent="0.25">
      <c r="B861" s="7"/>
    </row>
    <row r="862" spans="2:2" x14ac:dyDescent="0.25">
      <c r="B862" s="7"/>
    </row>
    <row r="863" spans="2:2" x14ac:dyDescent="0.25">
      <c r="B863" s="7"/>
    </row>
    <row r="864" spans="2:2" x14ac:dyDescent="0.25">
      <c r="B864" s="7"/>
    </row>
    <row r="865" spans="2:2" x14ac:dyDescent="0.25">
      <c r="B865" s="7"/>
    </row>
    <row r="866" spans="2:2" x14ac:dyDescent="0.25">
      <c r="B866" s="7"/>
    </row>
    <row r="867" spans="2:2" x14ac:dyDescent="0.25">
      <c r="B867" s="7"/>
    </row>
    <row r="868" spans="2:2" x14ac:dyDescent="0.25">
      <c r="B868" s="7"/>
    </row>
    <row r="869" spans="2:2" x14ac:dyDescent="0.25">
      <c r="B869" s="7"/>
    </row>
    <row r="870" spans="2:2" x14ac:dyDescent="0.25">
      <c r="B870" s="7"/>
    </row>
    <row r="871" spans="2:2" x14ac:dyDescent="0.25">
      <c r="B871" s="7"/>
    </row>
    <row r="872" spans="2:2" x14ac:dyDescent="0.25">
      <c r="B872" s="7"/>
    </row>
    <row r="873" spans="2:2" x14ac:dyDescent="0.25">
      <c r="B873" s="7"/>
    </row>
    <row r="874" spans="2:2" x14ac:dyDescent="0.25">
      <c r="B874" s="7"/>
    </row>
    <row r="875" spans="2:2" x14ac:dyDescent="0.25">
      <c r="B875" s="7"/>
    </row>
    <row r="876" spans="2:2" x14ac:dyDescent="0.25">
      <c r="B876" s="7"/>
    </row>
    <row r="877" spans="2:2" x14ac:dyDescent="0.25">
      <c r="B877" s="7"/>
    </row>
    <row r="878" spans="2:2" x14ac:dyDescent="0.25">
      <c r="B878" s="7"/>
    </row>
    <row r="879" spans="2:2" x14ac:dyDescent="0.25">
      <c r="B879" s="7"/>
    </row>
    <row r="880" spans="2:2" x14ac:dyDescent="0.25">
      <c r="B880" s="7"/>
    </row>
    <row r="881" spans="2:2" x14ac:dyDescent="0.25">
      <c r="B881" s="7"/>
    </row>
    <row r="882" spans="2:2" x14ac:dyDescent="0.25">
      <c r="B882" s="7"/>
    </row>
    <row r="883" spans="2:2" x14ac:dyDescent="0.25">
      <c r="B883" s="7"/>
    </row>
    <row r="884" spans="2:2" x14ac:dyDescent="0.25">
      <c r="B884" s="7"/>
    </row>
    <row r="885" spans="2:2" x14ac:dyDescent="0.25">
      <c r="B885" s="7"/>
    </row>
    <row r="886" spans="2:2" x14ac:dyDescent="0.25">
      <c r="B886" s="7"/>
    </row>
    <row r="887" spans="2:2" x14ac:dyDescent="0.25">
      <c r="B887" s="7"/>
    </row>
    <row r="888" spans="2:2" x14ac:dyDescent="0.25">
      <c r="B888" s="7"/>
    </row>
    <row r="889" spans="2:2" x14ac:dyDescent="0.25">
      <c r="B889" s="7"/>
    </row>
    <row r="890" spans="2:2" x14ac:dyDescent="0.25">
      <c r="B890" s="7"/>
    </row>
    <row r="891" spans="2:2" x14ac:dyDescent="0.25">
      <c r="B891" s="7"/>
    </row>
    <row r="892" spans="2:2" x14ac:dyDescent="0.25">
      <c r="B892" s="7"/>
    </row>
    <row r="893" spans="2:2" x14ac:dyDescent="0.25">
      <c r="B893" s="7"/>
    </row>
    <row r="894" spans="2:2" x14ac:dyDescent="0.25">
      <c r="B894" s="7"/>
    </row>
    <row r="895" spans="2:2" x14ac:dyDescent="0.25">
      <c r="B895" s="7"/>
    </row>
    <row r="896" spans="2:2" x14ac:dyDescent="0.25">
      <c r="B896" s="7"/>
    </row>
    <row r="897" spans="2:2" x14ac:dyDescent="0.25">
      <c r="B897" s="7"/>
    </row>
    <row r="898" spans="2:2" x14ac:dyDescent="0.25">
      <c r="B898" s="7"/>
    </row>
    <row r="899" spans="2:2" x14ac:dyDescent="0.25">
      <c r="B899" s="7"/>
    </row>
    <row r="900" spans="2:2" x14ac:dyDescent="0.25">
      <c r="B900" s="7"/>
    </row>
    <row r="901" spans="2:2" x14ac:dyDescent="0.25">
      <c r="B901" s="7"/>
    </row>
    <row r="902" spans="2:2" x14ac:dyDescent="0.25">
      <c r="B902" s="7"/>
    </row>
    <row r="903" spans="2:2" x14ac:dyDescent="0.25">
      <c r="B903" s="7"/>
    </row>
    <row r="904" spans="2:2" x14ac:dyDescent="0.25">
      <c r="B904" s="7"/>
    </row>
    <row r="905" spans="2:2" x14ac:dyDescent="0.25">
      <c r="B905" s="7"/>
    </row>
    <row r="906" spans="2:2" x14ac:dyDescent="0.25">
      <c r="B906" s="7"/>
    </row>
    <row r="907" spans="2:2" x14ac:dyDescent="0.25">
      <c r="B907" s="7"/>
    </row>
    <row r="908" spans="2:2" x14ac:dyDescent="0.25">
      <c r="B908" s="7"/>
    </row>
    <row r="909" spans="2:2" x14ac:dyDescent="0.25">
      <c r="B909" s="7"/>
    </row>
    <row r="910" spans="2:2" x14ac:dyDescent="0.25">
      <c r="B910" s="7"/>
    </row>
    <row r="911" spans="2:2" x14ac:dyDescent="0.25">
      <c r="B911" s="7"/>
    </row>
    <row r="912" spans="2:2" x14ac:dyDescent="0.25">
      <c r="B912" s="7"/>
    </row>
    <row r="913" spans="2:2" x14ac:dyDescent="0.25">
      <c r="B913" s="7"/>
    </row>
    <row r="914" spans="2:2" x14ac:dyDescent="0.25">
      <c r="B914" s="7"/>
    </row>
    <row r="915" spans="2:2" x14ac:dyDescent="0.25">
      <c r="B915" s="7"/>
    </row>
    <row r="916" spans="2:2" x14ac:dyDescent="0.25">
      <c r="B916" s="7"/>
    </row>
    <row r="917" spans="2:2" x14ac:dyDescent="0.25">
      <c r="B917" s="7"/>
    </row>
    <row r="918" spans="2:2" x14ac:dyDescent="0.25">
      <c r="B918" s="7"/>
    </row>
    <row r="919" spans="2:2" x14ac:dyDescent="0.25">
      <c r="B919" s="7"/>
    </row>
    <row r="920" spans="2:2" x14ac:dyDescent="0.25">
      <c r="B920" s="7"/>
    </row>
    <row r="921" spans="2:2" x14ac:dyDescent="0.25">
      <c r="B921" s="7"/>
    </row>
    <row r="922" spans="2:2" x14ac:dyDescent="0.25">
      <c r="B922" s="7"/>
    </row>
    <row r="923" spans="2:2" x14ac:dyDescent="0.25">
      <c r="B923" s="7"/>
    </row>
    <row r="924" spans="2:2" x14ac:dyDescent="0.25">
      <c r="B924" s="7"/>
    </row>
    <row r="925" spans="2:2" x14ac:dyDescent="0.25">
      <c r="B925" s="7"/>
    </row>
    <row r="926" spans="2:2" x14ac:dyDescent="0.25">
      <c r="B926" s="7"/>
    </row>
    <row r="927" spans="2:2" x14ac:dyDescent="0.25">
      <c r="B927" s="7"/>
    </row>
    <row r="928" spans="2:2" x14ac:dyDescent="0.25">
      <c r="B928" s="7"/>
    </row>
    <row r="929" spans="2:2" x14ac:dyDescent="0.25">
      <c r="B929" s="7"/>
    </row>
    <row r="930" spans="2:2" x14ac:dyDescent="0.25">
      <c r="B930" s="7"/>
    </row>
    <row r="931" spans="2:2" x14ac:dyDescent="0.25">
      <c r="B931" s="7"/>
    </row>
    <row r="932" spans="2:2" x14ac:dyDescent="0.25">
      <c r="B932" s="7"/>
    </row>
    <row r="933" spans="2:2" x14ac:dyDescent="0.25">
      <c r="B933" s="7"/>
    </row>
    <row r="934" spans="2:2" x14ac:dyDescent="0.25">
      <c r="B934" s="7"/>
    </row>
    <row r="935" spans="2:2" x14ac:dyDescent="0.25">
      <c r="B935" s="7"/>
    </row>
    <row r="936" spans="2:2" x14ac:dyDescent="0.25">
      <c r="B936" s="7"/>
    </row>
    <row r="937" spans="2:2" x14ac:dyDescent="0.25">
      <c r="B937" s="7"/>
    </row>
    <row r="938" spans="2:2" x14ac:dyDescent="0.25">
      <c r="B938" s="7"/>
    </row>
    <row r="939" spans="2:2" x14ac:dyDescent="0.25">
      <c r="B939" s="7"/>
    </row>
    <row r="940" spans="2:2" x14ac:dyDescent="0.25">
      <c r="B940" s="7"/>
    </row>
    <row r="941" spans="2:2" x14ac:dyDescent="0.25">
      <c r="B941" s="7"/>
    </row>
    <row r="942" spans="2:2" x14ac:dyDescent="0.25">
      <c r="B942" s="7"/>
    </row>
    <row r="943" spans="2:2" x14ac:dyDescent="0.25">
      <c r="B943" s="7"/>
    </row>
    <row r="944" spans="2:2" x14ac:dyDescent="0.25">
      <c r="B944" s="7"/>
    </row>
    <row r="945" spans="2:2" x14ac:dyDescent="0.25">
      <c r="B945" s="7"/>
    </row>
    <row r="946" spans="2:2" x14ac:dyDescent="0.25">
      <c r="B946" s="7"/>
    </row>
    <row r="947" spans="2:2" x14ac:dyDescent="0.25">
      <c r="B947" s="7"/>
    </row>
    <row r="948" spans="2:2" x14ac:dyDescent="0.25">
      <c r="B948" s="7"/>
    </row>
    <row r="949" spans="2:2" x14ac:dyDescent="0.25">
      <c r="B949" s="7"/>
    </row>
    <row r="950" spans="2:2" x14ac:dyDescent="0.25">
      <c r="B950" s="7"/>
    </row>
    <row r="951" spans="2:2" x14ac:dyDescent="0.25">
      <c r="B951" s="7"/>
    </row>
    <row r="952" spans="2:2" x14ac:dyDescent="0.25">
      <c r="B952" s="7"/>
    </row>
    <row r="953" spans="2:2" x14ac:dyDescent="0.25">
      <c r="B953" s="7"/>
    </row>
    <row r="954" spans="2:2" x14ac:dyDescent="0.25">
      <c r="B954" s="7"/>
    </row>
    <row r="955" spans="2:2" x14ac:dyDescent="0.25">
      <c r="B955" s="7"/>
    </row>
    <row r="956" spans="2:2" x14ac:dyDescent="0.25">
      <c r="B956" s="7"/>
    </row>
    <row r="957" spans="2:2" x14ac:dyDescent="0.25">
      <c r="B957" s="7"/>
    </row>
    <row r="958" spans="2:2" x14ac:dyDescent="0.25">
      <c r="B958" s="7"/>
    </row>
    <row r="959" spans="2:2" x14ac:dyDescent="0.25">
      <c r="B959" s="7"/>
    </row>
    <row r="960" spans="2:2" x14ac:dyDescent="0.25">
      <c r="B960" s="7"/>
    </row>
    <row r="961" spans="2:2" x14ac:dyDescent="0.25">
      <c r="B961" s="7"/>
    </row>
    <row r="962" spans="2:2" x14ac:dyDescent="0.25">
      <c r="B962" s="7"/>
    </row>
    <row r="963" spans="2:2" x14ac:dyDescent="0.25">
      <c r="B963" s="7"/>
    </row>
    <row r="964" spans="2:2" x14ac:dyDescent="0.25">
      <c r="B964" s="7"/>
    </row>
    <row r="965" spans="2:2" x14ac:dyDescent="0.25">
      <c r="B965" s="7"/>
    </row>
    <row r="966" spans="2:2" x14ac:dyDescent="0.25">
      <c r="B966" s="7"/>
    </row>
    <row r="967" spans="2:2" x14ac:dyDescent="0.25">
      <c r="B967" s="7"/>
    </row>
    <row r="968" spans="2:2" x14ac:dyDescent="0.25">
      <c r="B968" s="7"/>
    </row>
    <row r="969" spans="2:2" x14ac:dyDescent="0.25">
      <c r="B969" s="7"/>
    </row>
    <row r="970" spans="2:2" x14ac:dyDescent="0.25">
      <c r="B970" s="7"/>
    </row>
    <row r="971" spans="2:2" x14ac:dyDescent="0.25">
      <c r="B971" s="7"/>
    </row>
    <row r="972" spans="2:2" x14ac:dyDescent="0.25">
      <c r="B972" s="7"/>
    </row>
    <row r="973" spans="2:2" x14ac:dyDescent="0.25">
      <c r="B973" s="7"/>
    </row>
    <row r="974" spans="2:2" x14ac:dyDescent="0.25">
      <c r="B974" s="7"/>
    </row>
    <row r="975" spans="2:2" x14ac:dyDescent="0.25">
      <c r="B975" s="7"/>
    </row>
    <row r="976" spans="2:2" x14ac:dyDescent="0.25">
      <c r="B976" s="7"/>
    </row>
    <row r="977" spans="2:2" x14ac:dyDescent="0.25">
      <c r="B977" s="7"/>
    </row>
    <row r="978" spans="2:2" x14ac:dyDescent="0.25">
      <c r="B978" s="7"/>
    </row>
    <row r="979" spans="2:2" x14ac:dyDescent="0.25">
      <c r="B979" s="7"/>
    </row>
    <row r="980" spans="2:2" x14ac:dyDescent="0.25">
      <c r="B980" s="7"/>
    </row>
    <row r="981" spans="2:2" x14ac:dyDescent="0.25">
      <c r="B981" s="7"/>
    </row>
    <row r="982" spans="2:2" x14ac:dyDescent="0.25">
      <c r="B982" s="7"/>
    </row>
    <row r="983" spans="2:2" x14ac:dyDescent="0.25">
      <c r="B983" s="7"/>
    </row>
    <row r="984" spans="2:2" x14ac:dyDescent="0.25">
      <c r="B984" s="7"/>
    </row>
    <row r="985" spans="2:2" x14ac:dyDescent="0.25">
      <c r="B985" s="7"/>
    </row>
    <row r="986" spans="2:2" x14ac:dyDescent="0.25">
      <c r="B986" s="7"/>
    </row>
    <row r="987" spans="2:2" x14ac:dyDescent="0.25">
      <c r="B987" s="7"/>
    </row>
    <row r="988" spans="2:2" x14ac:dyDescent="0.25">
      <c r="B988" s="7"/>
    </row>
    <row r="989" spans="2:2" x14ac:dyDescent="0.25">
      <c r="B989" s="7"/>
    </row>
    <row r="990" spans="2:2" x14ac:dyDescent="0.25">
      <c r="B990" s="7"/>
    </row>
    <row r="991" spans="2:2" x14ac:dyDescent="0.25">
      <c r="B991" s="7"/>
    </row>
    <row r="992" spans="2:2" x14ac:dyDescent="0.25">
      <c r="B992" s="7"/>
    </row>
    <row r="993" spans="2:2" x14ac:dyDescent="0.25">
      <c r="B993" s="7"/>
    </row>
    <row r="994" spans="2:2" x14ac:dyDescent="0.25">
      <c r="B994" s="7"/>
    </row>
    <row r="995" spans="2:2" x14ac:dyDescent="0.25">
      <c r="B995" s="7"/>
    </row>
    <row r="996" spans="2:2" x14ac:dyDescent="0.25">
      <c r="B996" s="7"/>
    </row>
    <row r="997" spans="2:2" x14ac:dyDescent="0.25">
      <c r="B997" s="7"/>
    </row>
    <row r="998" spans="2:2" x14ac:dyDescent="0.25">
      <c r="B998" s="7"/>
    </row>
    <row r="999" spans="2:2" x14ac:dyDescent="0.25">
      <c r="B999" s="7"/>
    </row>
    <row r="1000" spans="2:2" x14ac:dyDescent="0.25">
      <c r="B1000" s="7"/>
    </row>
    <row r="1001" spans="2:2" x14ac:dyDescent="0.25">
      <c r="B1001" s="7"/>
    </row>
    <row r="1002" spans="2:2" x14ac:dyDescent="0.25">
      <c r="B1002" s="7"/>
    </row>
    <row r="1003" spans="2:2" x14ac:dyDescent="0.25">
      <c r="B1003" s="7"/>
    </row>
    <row r="1004" spans="2:2" x14ac:dyDescent="0.25">
      <c r="B1004" s="7"/>
    </row>
    <row r="1005" spans="2:2" x14ac:dyDescent="0.25">
      <c r="B1005" s="7"/>
    </row>
    <row r="1006" spans="2:2" x14ac:dyDescent="0.25">
      <c r="B1006" s="7"/>
    </row>
    <row r="1007" spans="2:2" x14ac:dyDescent="0.25">
      <c r="B1007" s="7"/>
    </row>
    <row r="1008" spans="2:2" x14ac:dyDescent="0.25">
      <c r="B1008" s="7"/>
    </row>
    <row r="1009" spans="2:2" x14ac:dyDescent="0.25">
      <c r="B1009" s="7"/>
    </row>
    <row r="1010" spans="2:2" x14ac:dyDescent="0.25">
      <c r="B1010" s="7"/>
    </row>
    <row r="1011" spans="2:2" x14ac:dyDescent="0.25">
      <c r="B1011" s="7"/>
    </row>
    <row r="1012" spans="2:2" x14ac:dyDescent="0.25">
      <c r="B1012" s="7"/>
    </row>
    <row r="1013" spans="2:2" x14ac:dyDescent="0.25">
      <c r="B1013" s="7"/>
    </row>
    <row r="1014" spans="2:2" x14ac:dyDescent="0.25">
      <c r="B1014" s="7"/>
    </row>
    <row r="1015" spans="2:2" x14ac:dyDescent="0.25">
      <c r="B1015" s="7"/>
    </row>
    <row r="1016" spans="2:2" x14ac:dyDescent="0.25">
      <c r="B1016" s="7"/>
    </row>
    <row r="1017" spans="2:2" x14ac:dyDescent="0.25">
      <c r="B1017" s="7"/>
    </row>
    <row r="1018" spans="2:2" x14ac:dyDescent="0.25">
      <c r="B1018" s="7"/>
    </row>
    <row r="1019" spans="2:2" x14ac:dyDescent="0.25">
      <c r="B1019" s="7"/>
    </row>
    <row r="1020" spans="2:2" x14ac:dyDescent="0.25">
      <c r="B1020" s="7"/>
    </row>
    <row r="1021" spans="2:2" x14ac:dyDescent="0.25">
      <c r="B1021" s="7"/>
    </row>
    <row r="1022" spans="2:2" x14ac:dyDescent="0.25">
      <c r="B1022" s="7"/>
    </row>
    <row r="1023" spans="2:2" x14ac:dyDescent="0.25">
      <c r="B1023" s="7"/>
    </row>
    <row r="1024" spans="2:2" x14ac:dyDescent="0.25">
      <c r="B1024" s="7"/>
    </row>
    <row r="1025" spans="2:2" x14ac:dyDescent="0.25">
      <c r="B1025" s="7"/>
    </row>
    <row r="1026" spans="2:2" x14ac:dyDescent="0.25">
      <c r="B1026" s="7"/>
    </row>
    <row r="1027" spans="2:2" x14ac:dyDescent="0.25">
      <c r="B1027" s="7"/>
    </row>
    <row r="1028" spans="2:2" x14ac:dyDescent="0.25">
      <c r="B1028" s="7"/>
    </row>
    <row r="1029" spans="2:2" x14ac:dyDescent="0.25">
      <c r="B1029" s="7"/>
    </row>
    <row r="1030" spans="2:2" x14ac:dyDescent="0.25">
      <c r="B1030" s="7"/>
    </row>
  </sheetData>
  <mergeCells count="10">
    <mergeCell ref="D1:E1"/>
    <mergeCell ref="C9:C10"/>
    <mergeCell ref="D9:E9"/>
    <mergeCell ref="C42:E42"/>
    <mergeCell ref="A4:E4"/>
    <mergeCell ref="A8:A10"/>
    <mergeCell ref="B8:B10"/>
    <mergeCell ref="C8:E8"/>
    <mergeCell ref="D7:E7"/>
    <mergeCell ref="A5:E5"/>
  </mergeCells>
  <pageMargins left="0.57999999999999996" right="0.2" top="0.56999999999999995" bottom="0.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7" sqref="L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workbookViewId="0"/>
  </sheetViews>
  <sheetFormatPr defaultRowHeight="15.75" x14ac:dyDescent="0.25"/>
  <cols>
    <col min="1" max="1" width="6.28515625" style="177" customWidth="1"/>
    <col min="2" max="2" width="30.5703125" style="177" customWidth="1"/>
    <col min="3" max="3" width="6" style="177" customWidth="1"/>
    <col min="4" max="4" width="7.140625" style="177" customWidth="1"/>
    <col min="5" max="5" width="6.7109375" style="177" customWidth="1"/>
    <col min="6" max="6" width="6.85546875" style="177" customWidth="1"/>
    <col min="7" max="7" width="9.28515625" style="177" customWidth="1"/>
    <col min="8" max="8" width="10.140625" style="177" customWidth="1"/>
    <col min="9" max="9" width="9.42578125" style="177" customWidth="1"/>
    <col min="10" max="10" width="9.5703125" style="177" customWidth="1"/>
    <col min="11" max="11" width="7.85546875" style="177" customWidth="1"/>
    <col min="12" max="250" width="9.140625" style="1"/>
    <col min="251" max="251" width="7.7109375" style="1" customWidth="1"/>
    <col min="252" max="252" width="31.85546875" style="1" customWidth="1"/>
    <col min="253" max="253" width="6.85546875" style="1" customWidth="1"/>
    <col min="254" max="254" width="7.140625" style="1" customWidth="1"/>
    <col min="255" max="256" width="7.28515625" style="1" customWidth="1"/>
    <col min="257" max="257" width="9.28515625" style="1" customWidth="1"/>
    <col min="258" max="258" width="13.28515625" style="1" bestFit="1" customWidth="1"/>
    <col min="259" max="259" width="10.85546875" style="1" customWidth="1"/>
    <col min="260" max="260" width="11.28515625" style="1" customWidth="1"/>
    <col min="261" max="261" width="9.85546875" style="1" customWidth="1"/>
    <col min="262" max="262" width="18.28515625" style="1" customWidth="1"/>
    <col min="263" max="263" width="9.140625" style="1"/>
    <col min="264" max="264" width="29.42578125" style="1" customWidth="1"/>
    <col min="265" max="506" width="9.140625" style="1"/>
    <col min="507" max="507" width="7.7109375" style="1" customWidth="1"/>
    <col min="508" max="508" width="31.85546875" style="1" customWidth="1"/>
    <col min="509" max="509" width="6.85546875" style="1" customWidth="1"/>
    <col min="510" max="510" width="7.140625" style="1" customWidth="1"/>
    <col min="511" max="512" width="7.28515625" style="1" customWidth="1"/>
    <col min="513" max="513" width="9.28515625" style="1" customWidth="1"/>
    <col min="514" max="514" width="13.28515625" style="1" bestFit="1" customWidth="1"/>
    <col min="515" max="515" width="10.85546875" style="1" customWidth="1"/>
    <col min="516" max="516" width="11.28515625" style="1" customWidth="1"/>
    <col min="517" max="517" width="9.85546875" style="1" customWidth="1"/>
    <col min="518" max="518" width="18.28515625" style="1" customWidth="1"/>
    <col min="519" max="519" width="9.140625" style="1"/>
    <col min="520" max="520" width="29.42578125" style="1" customWidth="1"/>
    <col min="521" max="762" width="9.140625" style="1"/>
    <col min="763" max="763" width="7.7109375" style="1" customWidth="1"/>
    <col min="764" max="764" width="31.85546875" style="1" customWidth="1"/>
    <col min="765" max="765" width="6.85546875" style="1" customWidth="1"/>
    <col min="766" max="766" width="7.140625" style="1" customWidth="1"/>
    <col min="767" max="768" width="7.28515625" style="1" customWidth="1"/>
    <col min="769" max="769" width="9.28515625" style="1" customWidth="1"/>
    <col min="770" max="770" width="13.28515625" style="1" bestFit="1" customWidth="1"/>
    <col min="771" max="771" width="10.85546875" style="1" customWidth="1"/>
    <col min="772" max="772" width="11.28515625" style="1" customWidth="1"/>
    <col min="773" max="773" width="9.85546875" style="1" customWidth="1"/>
    <col min="774" max="774" width="18.28515625" style="1" customWidth="1"/>
    <col min="775" max="775" width="9.140625" style="1"/>
    <col min="776" max="776" width="29.42578125" style="1" customWidth="1"/>
    <col min="777" max="1018" width="9.140625" style="1"/>
    <col min="1019" max="1019" width="7.7109375" style="1" customWidth="1"/>
    <col min="1020" max="1020" width="31.85546875" style="1" customWidth="1"/>
    <col min="1021" max="1021" width="6.85546875" style="1" customWidth="1"/>
    <col min="1022" max="1022" width="7.140625" style="1" customWidth="1"/>
    <col min="1023" max="1024" width="7.28515625" style="1" customWidth="1"/>
    <col min="1025" max="1025" width="9.28515625" style="1" customWidth="1"/>
    <col min="1026" max="1026" width="13.28515625" style="1" bestFit="1" customWidth="1"/>
    <col min="1027" max="1027" width="10.85546875" style="1" customWidth="1"/>
    <col min="1028" max="1028" width="11.28515625" style="1" customWidth="1"/>
    <col min="1029" max="1029" width="9.85546875" style="1" customWidth="1"/>
    <col min="1030" max="1030" width="18.28515625" style="1" customWidth="1"/>
    <col min="1031" max="1031" width="9.140625" style="1"/>
    <col min="1032" max="1032" width="29.42578125" style="1" customWidth="1"/>
    <col min="1033" max="1274" width="9.140625" style="1"/>
    <col min="1275" max="1275" width="7.7109375" style="1" customWidth="1"/>
    <col min="1276" max="1276" width="31.85546875" style="1" customWidth="1"/>
    <col min="1277" max="1277" width="6.85546875" style="1" customWidth="1"/>
    <col min="1278" max="1278" width="7.140625" style="1" customWidth="1"/>
    <col min="1279" max="1280" width="7.28515625" style="1" customWidth="1"/>
    <col min="1281" max="1281" width="9.28515625" style="1" customWidth="1"/>
    <col min="1282" max="1282" width="13.28515625" style="1" bestFit="1" customWidth="1"/>
    <col min="1283" max="1283" width="10.85546875" style="1" customWidth="1"/>
    <col min="1284" max="1284" width="11.28515625" style="1" customWidth="1"/>
    <col min="1285" max="1285" width="9.85546875" style="1" customWidth="1"/>
    <col min="1286" max="1286" width="18.28515625" style="1" customWidth="1"/>
    <col min="1287" max="1287" width="9.140625" style="1"/>
    <col min="1288" max="1288" width="29.42578125" style="1" customWidth="1"/>
    <col min="1289" max="1530" width="9.140625" style="1"/>
    <col min="1531" max="1531" width="7.7109375" style="1" customWidth="1"/>
    <col min="1532" max="1532" width="31.85546875" style="1" customWidth="1"/>
    <col min="1533" max="1533" width="6.85546875" style="1" customWidth="1"/>
    <col min="1534" max="1534" width="7.140625" style="1" customWidth="1"/>
    <col min="1535" max="1536" width="7.28515625" style="1" customWidth="1"/>
    <col min="1537" max="1537" width="9.28515625" style="1" customWidth="1"/>
    <col min="1538" max="1538" width="13.28515625" style="1" bestFit="1" customWidth="1"/>
    <col min="1539" max="1539" width="10.85546875" style="1" customWidth="1"/>
    <col min="1540" max="1540" width="11.28515625" style="1" customWidth="1"/>
    <col min="1541" max="1541" width="9.85546875" style="1" customWidth="1"/>
    <col min="1542" max="1542" width="18.28515625" style="1" customWidth="1"/>
    <col min="1543" max="1543" width="9.140625" style="1"/>
    <col min="1544" max="1544" width="29.42578125" style="1" customWidth="1"/>
    <col min="1545" max="1786" width="9.140625" style="1"/>
    <col min="1787" max="1787" width="7.7109375" style="1" customWidth="1"/>
    <col min="1788" max="1788" width="31.85546875" style="1" customWidth="1"/>
    <col min="1789" max="1789" width="6.85546875" style="1" customWidth="1"/>
    <col min="1790" max="1790" width="7.140625" style="1" customWidth="1"/>
    <col min="1791" max="1792" width="7.28515625" style="1" customWidth="1"/>
    <col min="1793" max="1793" width="9.28515625" style="1" customWidth="1"/>
    <col min="1794" max="1794" width="13.28515625" style="1" bestFit="1" customWidth="1"/>
    <col min="1795" max="1795" width="10.85546875" style="1" customWidth="1"/>
    <col min="1796" max="1796" width="11.28515625" style="1" customWidth="1"/>
    <col min="1797" max="1797" width="9.85546875" style="1" customWidth="1"/>
    <col min="1798" max="1798" width="18.28515625" style="1" customWidth="1"/>
    <col min="1799" max="1799" width="9.140625" style="1"/>
    <col min="1800" max="1800" width="29.42578125" style="1" customWidth="1"/>
    <col min="1801" max="2042" width="9.140625" style="1"/>
    <col min="2043" max="2043" width="7.7109375" style="1" customWidth="1"/>
    <col min="2044" max="2044" width="31.85546875" style="1" customWidth="1"/>
    <col min="2045" max="2045" width="6.85546875" style="1" customWidth="1"/>
    <col min="2046" max="2046" width="7.140625" style="1" customWidth="1"/>
    <col min="2047" max="2048" width="7.28515625" style="1" customWidth="1"/>
    <col min="2049" max="2049" width="9.28515625" style="1" customWidth="1"/>
    <col min="2050" max="2050" width="13.28515625" style="1" bestFit="1" customWidth="1"/>
    <col min="2051" max="2051" width="10.85546875" style="1" customWidth="1"/>
    <col min="2052" max="2052" width="11.28515625" style="1" customWidth="1"/>
    <col min="2053" max="2053" width="9.85546875" style="1" customWidth="1"/>
    <col min="2054" max="2054" width="18.28515625" style="1" customWidth="1"/>
    <col min="2055" max="2055" width="9.140625" style="1"/>
    <col min="2056" max="2056" width="29.42578125" style="1" customWidth="1"/>
    <col min="2057" max="2298" width="9.140625" style="1"/>
    <col min="2299" max="2299" width="7.7109375" style="1" customWidth="1"/>
    <col min="2300" max="2300" width="31.85546875" style="1" customWidth="1"/>
    <col min="2301" max="2301" width="6.85546875" style="1" customWidth="1"/>
    <col min="2302" max="2302" width="7.140625" style="1" customWidth="1"/>
    <col min="2303" max="2304" width="7.28515625" style="1" customWidth="1"/>
    <col min="2305" max="2305" width="9.28515625" style="1" customWidth="1"/>
    <col min="2306" max="2306" width="13.28515625" style="1" bestFit="1" customWidth="1"/>
    <col min="2307" max="2307" width="10.85546875" style="1" customWidth="1"/>
    <col min="2308" max="2308" width="11.28515625" style="1" customWidth="1"/>
    <col min="2309" max="2309" width="9.85546875" style="1" customWidth="1"/>
    <col min="2310" max="2310" width="18.28515625" style="1" customWidth="1"/>
    <col min="2311" max="2311" width="9.140625" style="1"/>
    <col min="2312" max="2312" width="29.42578125" style="1" customWidth="1"/>
    <col min="2313" max="2554" width="9.140625" style="1"/>
    <col min="2555" max="2555" width="7.7109375" style="1" customWidth="1"/>
    <col min="2556" max="2556" width="31.85546875" style="1" customWidth="1"/>
    <col min="2557" max="2557" width="6.85546875" style="1" customWidth="1"/>
    <col min="2558" max="2558" width="7.140625" style="1" customWidth="1"/>
    <col min="2559" max="2560" width="7.28515625" style="1" customWidth="1"/>
    <col min="2561" max="2561" width="9.28515625" style="1" customWidth="1"/>
    <col min="2562" max="2562" width="13.28515625" style="1" bestFit="1" customWidth="1"/>
    <col min="2563" max="2563" width="10.85546875" style="1" customWidth="1"/>
    <col min="2564" max="2564" width="11.28515625" style="1" customWidth="1"/>
    <col min="2565" max="2565" width="9.85546875" style="1" customWidth="1"/>
    <col min="2566" max="2566" width="18.28515625" style="1" customWidth="1"/>
    <col min="2567" max="2567" width="9.140625" style="1"/>
    <col min="2568" max="2568" width="29.42578125" style="1" customWidth="1"/>
    <col min="2569" max="2810" width="9.140625" style="1"/>
    <col min="2811" max="2811" width="7.7109375" style="1" customWidth="1"/>
    <col min="2812" max="2812" width="31.85546875" style="1" customWidth="1"/>
    <col min="2813" max="2813" width="6.85546875" style="1" customWidth="1"/>
    <col min="2814" max="2814" width="7.140625" style="1" customWidth="1"/>
    <col min="2815" max="2816" width="7.28515625" style="1" customWidth="1"/>
    <col min="2817" max="2817" width="9.28515625" style="1" customWidth="1"/>
    <col min="2818" max="2818" width="13.28515625" style="1" bestFit="1" customWidth="1"/>
    <col min="2819" max="2819" width="10.85546875" style="1" customWidth="1"/>
    <col min="2820" max="2820" width="11.28515625" style="1" customWidth="1"/>
    <col min="2821" max="2821" width="9.85546875" style="1" customWidth="1"/>
    <col min="2822" max="2822" width="18.28515625" style="1" customWidth="1"/>
    <col min="2823" max="2823" width="9.140625" style="1"/>
    <col min="2824" max="2824" width="29.42578125" style="1" customWidth="1"/>
    <col min="2825" max="3066" width="9.140625" style="1"/>
    <col min="3067" max="3067" width="7.7109375" style="1" customWidth="1"/>
    <col min="3068" max="3068" width="31.85546875" style="1" customWidth="1"/>
    <col min="3069" max="3069" width="6.85546875" style="1" customWidth="1"/>
    <col min="3070" max="3070" width="7.140625" style="1" customWidth="1"/>
    <col min="3071" max="3072" width="7.28515625" style="1" customWidth="1"/>
    <col min="3073" max="3073" width="9.28515625" style="1" customWidth="1"/>
    <col min="3074" max="3074" width="13.28515625" style="1" bestFit="1" customWidth="1"/>
    <col min="3075" max="3075" width="10.85546875" style="1" customWidth="1"/>
    <col min="3076" max="3076" width="11.28515625" style="1" customWidth="1"/>
    <col min="3077" max="3077" width="9.85546875" style="1" customWidth="1"/>
    <col min="3078" max="3078" width="18.28515625" style="1" customWidth="1"/>
    <col min="3079" max="3079" width="9.140625" style="1"/>
    <col min="3080" max="3080" width="29.42578125" style="1" customWidth="1"/>
    <col min="3081" max="3322" width="9.140625" style="1"/>
    <col min="3323" max="3323" width="7.7109375" style="1" customWidth="1"/>
    <col min="3324" max="3324" width="31.85546875" style="1" customWidth="1"/>
    <col min="3325" max="3325" width="6.85546875" style="1" customWidth="1"/>
    <col min="3326" max="3326" width="7.140625" style="1" customWidth="1"/>
    <col min="3327" max="3328" width="7.28515625" style="1" customWidth="1"/>
    <col min="3329" max="3329" width="9.28515625" style="1" customWidth="1"/>
    <col min="3330" max="3330" width="13.28515625" style="1" bestFit="1" customWidth="1"/>
    <col min="3331" max="3331" width="10.85546875" style="1" customWidth="1"/>
    <col min="3332" max="3332" width="11.28515625" style="1" customWidth="1"/>
    <col min="3333" max="3333" width="9.85546875" style="1" customWidth="1"/>
    <col min="3334" max="3334" width="18.28515625" style="1" customWidth="1"/>
    <col min="3335" max="3335" width="9.140625" style="1"/>
    <col min="3336" max="3336" width="29.42578125" style="1" customWidth="1"/>
    <col min="3337" max="3578" width="9.140625" style="1"/>
    <col min="3579" max="3579" width="7.7109375" style="1" customWidth="1"/>
    <col min="3580" max="3580" width="31.85546875" style="1" customWidth="1"/>
    <col min="3581" max="3581" width="6.85546875" style="1" customWidth="1"/>
    <col min="3582" max="3582" width="7.140625" style="1" customWidth="1"/>
    <col min="3583" max="3584" width="7.28515625" style="1" customWidth="1"/>
    <col min="3585" max="3585" width="9.28515625" style="1" customWidth="1"/>
    <col min="3586" max="3586" width="13.28515625" style="1" bestFit="1" customWidth="1"/>
    <col min="3587" max="3587" width="10.85546875" style="1" customWidth="1"/>
    <col min="3588" max="3588" width="11.28515625" style="1" customWidth="1"/>
    <col min="3589" max="3589" width="9.85546875" style="1" customWidth="1"/>
    <col min="3590" max="3590" width="18.28515625" style="1" customWidth="1"/>
    <col min="3591" max="3591" width="9.140625" style="1"/>
    <col min="3592" max="3592" width="29.42578125" style="1" customWidth="1"/>
    <col min="3593" max="3834" width="9.140625" style="1"/>
    <col min="3835" max="3835" width="7.7109375" style="1" customWidth="1"/>
    <col min="3836" max="3836" width="31.85546875" style="1" customWidth="1"/>
    <col min="3837" max="3837" width="6.85546875" style="1" customWidth="1"/>
    <col min="3838" max="3838" width="7.140625" style="1" customWidth="1"/>
    <col min="3839" max="3840" width="7.28515625" style="1" customWidth="1"/>
    <col min="3841" max="3841" width="9.28515625" style="1" customWidth="1"/>
    <col min="3842" max="3842" width="13.28515625" style="1" bestFit="1" customWidth="1"/>
    <col min="3843" max="3843" width="10.85546875" style="1" customWidth="1"/>
    <col min="3844" max="3844" width="11.28515625" style="1" customWidth="1"/>
    <col min="3845" max="3845" width="9.85546875" style="1" customWidth="1"/>
    <col min="3846" max="3846" width="18.28515625" style="1" customWidth="1"/>
    <col min="3847" max="3847" width="9.140625" style="1"/>
    <col min="3848" max="3848" width="29.42578125" style="1" customWidth="1"/>
    <col min="3849" max="4090" width="9.140625" style="1"/>
    <col min="4091" max="4091" width="7.7109375" style="1" customWidth="1"/>
    <col min="4092" max="4092" width="31.85546875" style="1" customWidth="1"/>
    <col min="4093" max="4093" width="6.85546875" style="1" customWidth="1"/>
    <col min="4094" max="4094" width="7.140625" style="1" customWidth="1"/>
    <col min="4095" max="4096" width="7.28515625" style="1" customWidth="1"/>
    <col min="4097" max="4097" width="9.28515625" style="1" customWidth="1"/>
    <col min="4098" max="4098" width="13.28515625" style="1" bestFit="1" customWidth="1"/>
    <col min="4099" max="4099" width="10.85546875" style="1" customWidth="1"/>
    <col min="4100" max="4100" width="11.28515625" style="1" customWidth="1"/>
    <col min="4101" max="4101" width="9.85546875" style="1" customWidth="1"/>
    <col min="4102" max="4102" width="18.28515625" style="1" customWidth="1"/>
    <col min="4103" max="4103" width="9.140625" style="1"/>
    <col min="4104" max="4104" width="29.42578125" style="1" customWidth="1"/>
    <col min="4105" max="4346" width="9.140625" style="1"/>
    <col min="4347" max="4347" width="7.7109375" style="1" customWidth="1"/>
    <col min="4348" max="4348" width="31.85546875" style="1" customWidth="1"/>
    <col min="4349" max="4349" width="6.85546875" style="1" customWidth="1"/>
    <col min="4350" max="4350" width="7.140625" style="1" customWidth="1"/>
    <col min="4351" max="4352" width="7.28515625" style="1" customWidth="1"/>
    <col min="4353" max="4353" width="9.28515625" style="1" customWidth="1"/>
    <col min="4354" max="4354" width="13.28515625" style="1" bestFit="1" customWidth="1"/>
    <col min="4355" max="4355" width="10.85546875" style="1" customWidth="1"/>
    <col min="4356" max="4356" width="11.28515625" style="1" customWidth="1"/>
    <col min="4357" max="4357" width="9.85546875" style="1" customWidth="1"/>
    <col min="4358" max="4358" width="18.28515625" style="1" customWidth="1"/>
    <col min="4359" max="4359" width="9.140625" style="1"/>
    <col min="4360" max="4360" width="29.42578125" style="1" customWidth="1"/>
    <col min="4361" max="4602" width="9.140625" style="1"/>
    <col min="4603" max="4603" width="7.7109375" style="1" customWidth="1"/>
    <col min="4604" max="4604" width="31.85546875" style="1" customWidth="1"/>
    <col min="4605" max="4605" width="6.85546875" style="1" customWidth="1"/>
    <col min="4606" max="4606" width="7.140625" style="1" customWidth="1"/>
    <col min="4607" max="4608" width="7.28515625" style="1" customWidth="1"/>
    <col min="4609" max="4609" width="9.28515625" style="1" customWidth="1"/>
    <col min="4610" max="4610" width="13.28515625" style="1" bestFit="1" customWidth="1"/>
    <col min="4611" max="4611" width="10.85546875" style="1" customWidth="1"/>
    <col min="4612" max="4612" width="11.28515625" style="1" customWidth="1"/>
    <col min="4613" max="4613" width="9.85546875" style="1" customWidth="1"/>
    <col min="4614" max="4614" width="18.28515625" style="1" customWidth="1"/>
    <col min="4615" max="4615" width="9.140625" style="1"/>
    <col min="4616" max="4616" width="29.42578125" style="1" customWidth="1"/>
    <col min="4617" max="4858" width="9.140625" style="1"/>
    <col min="4859" max="4859" width="7.7109375" style="1" customWidth="1"/>
    <col min="4860" max="4860" width="31.85546875" style="1" customWidth="1"/>
    <col min="4861" max="4861" width="6.85546875" style="1" customWidth="1"/>
    <col min="4862" max="4862" width="7.140625" style="1" customWidth="1"/>
    <col min="4863" max="4864" width="7.28515625" style="1" customWidth="1"/>
    <col min="4865" max="4865" width="9.28515625" style="1" customWidth="1"/>
    <col min="4866" max="4866" width="13.28515625" style="1" bestFit="1" customWidth="1"/>
    <col min="4867" max="4867" width="10.85546875" style="1" customWidth="1"/>
    <col min="4868" max="4868" width="11.28515625" style="1" customWidth="1"/>
    <col min="4869" max="4869" width="9.85546875" style="1" customWidth="1"/>
    <col min="4870" max="4870" width="18.28515625" style="1" customWidth="1"/>
    <col min="4871" max="4871" width="9.140625" style="1"/>
    <col min="4872" max="4872" width="29.42578125" style="1" customWidth="1"/>
    <col min="4873" max="5114" width="9.140625" style="1"/>
    <col min="5115" max="5115" width="7.7109375" style="1" customWidth="1"/>
    <col min="5116" max="5116" width="31.85546875" style="1" customWidth="1"/>
    <col min="5117" max="5117" width="6.85546875" style="1" customWidth="1"/>
    <col min="5118" max="5118" width="7.140625" style="1" customWidth="1"/>
    <col min="5119" max="5120" width="7.28515625" style="1" customWidth="1"/>
    <col min="5121" max="5121" width="9.28515625" style="1" customWidth="1"/>
    <col min="5122" max="5122" width="13.28515625" style="1" bestFit="1" customWidth="1"/>
    <col min="5123" max="5123" width="10.85546875" style="1" customWidth="1"/>
    <col min="5124" max="5124" width="11.28515625" style="1" customWidth="1"/>
    <col min="5125" max="5125" width="9.85546875" style="1" customWidth="1"/>
    <col min="5126" max="5126" width="18.28515625" style="1" customWidth="1"/>
    <col min="5127" max="5127" width="9.140625" style="1"/>
    <col min="5128" max="5128" width="29.42578125" style="1" customWidth="1"/>
    <col min="5129" max="5370" width="9.140625" style="1"/>
    <col min="5371" max="5371" width="7.7109375" style="1" customWidth="1"/>
    <col min="5372" max="5372" width="31.85546875" style="1" customWidth="1"/>
    <col min="5373" max="5373" width="6.85546875" style="1" customWidth="1"/>
    <col min="5374" max="5374" width="7.140625" style="1" customWidth="1"/>
    <col min="5375" max="5376" width="7.28515625" style="1" customWidth="1"/>
    <col min="5377" max="5377" width="9.28515625" style="1" customWidth="1"/>
    <col min="5378" max="5378" width="13.28515625" style="1" bestFit="1" customWidth="1"/>
    <col min="5379" max="5379" width="10.85546875" style="1" customWidth="1"/>
    <col min="5380" max="5380" width="11.28515625" style="1" customWidth="1"/>
    <col min="5381" max="5381" width="9.85546875" style="1" customWidth="1"/>
    <col min="5382" max="5382" width="18.28515625" style="1" customWidth="1"/>
    <col min="5383" max="5383" width="9.140625" style="1"/>
    <col min="5384" max="5384" width="29.42578125" style="1" customWidth="1"/>
    <col min="5385" max="5626" width="9.140625" style="1"/>
    <col min="5627" max="5627" width="7.7109375" style="1" customWidth="1"/>
    <col min="5628" max="5628" width="31.85546875" style="1" customWidth="1"/>
    <col min="5629" max="5629" width="6.85546875" style="1" customWidth="1"/>
    <col min="5630" max="5630" width="7.140625" style="1" customWidth="1"/>
    <col min="5631" max="5632" width="7.28515625" style="1" customWidth="1"/>
    <col min="5633" max="5633" width="9.28515625" style="1" customWidth="1"/>
    <col min="5634" max="5634" width="13.28515625" style="1" bestFit="1" customWidth="1"/>
    <col min="5635" max="5635" width="10.85546875" style="1" customWidth="1"/>
    <col min="5636" max="5636" width="11.28515625" style="1" customWidth="1"/>
    <col min="5637" max="5637" width="9.85546875" style="1" customWidth="1"/>
    <col min="5638" max="5638" width="18.28515625" style="1" customWidth="1"/>
    <col min="5639" max="5639" width="9.140625" style="1"/>
    <col min="5640" max="5640" width="29.42578125" style="1" customWidth="1"/>
    <col min="5641" max="5882" width="9.140625" style="1"/>
    <col min="5883" max="5883" width="7.7109375" style="1" customWidth="1"/>
    <col min="5884" max="5884" width="31.85546875" style="1" customWidth="1"/>
    <col min="5885" max="5885" width="6.85546875" style="1" customWidth="1"/>
    <col min="5886" max="5886" width="7.140625" style="1" customWidth="1"/>
    <col min="5887" max="5888" width="7.28515625" style="1" customWidth="1"/>
    <col min="5889" max="5889" width="9.28515625" style="1" customWidth="1"/>
    <col min="5890" max="5890" width="13.28515625" style="1" bestFit="1" customWidth="1"/>
    <col min="5891" max="5891" width="10.85546875" style="1" customWidth="1"/>
    <col min="5892" max="5892" width="11.28515625" style="1" customWidth="1"/>
    <col min="5893" max="5893" width="9.85546875" style="1" customWidth="1"/>
    <col min="5894" max="5894" width="18.28515625" style="1" customWidth="1"/>
    <col min="5895" max="5895" width="9.140625" style="1"/>
    <col min="5896" max="5896" width="29.42578125" style="1" customWidth="1"/>
    <col min="5897" max="6138" width="9.140625" style="1"/>
    <col min="6139" max="6139" width="7.7109375" style="1" customWidth="1"/>
    <col min="6140" max="6140" width="31.85546875" style="1" customWidth="1"/>
    <col min="6141" max="6141" width="6.85546875" style="1" customWidth="1"/>
    <col min="6142" max="6142" width="7.140625" style="1" customWidth="1"/>
    <col min="6143" max="6144" width="7.28515625" style="1" customWidth="1"/>
    <col min="6145" max="6145" width="9.28515625" style="1" customWidth="1"/>
    <col min="6146" max="6146" width="13.28515625" style="1" bestFit="1" customWidth="1"/>
    <col min="6147" max="6147" width="10.85546875" style="1" customWidth="1"/>
    <col min="6148" max="6148" width="11.28515625" style="1" customWidth="1"/>
    <col min="6149" max="6149" width="9.85546875" style="1" customWidth="1"/>
    <col min="6150" max="6150" width="18.28515625" style="1" customWidth="1"/>
    <col min="6151" max="6151" width="9.140625" style="1"/>
    <col min="6152" max="6152" width="29.42578125" style="1" customWidth="1"/>
    <col min="6153" max="6394" width="9.140625" style="1"/>
    <col min="6395" max="6395" width="7.7109375" style="1" customWidth="1"/>
    <col min="6396" max="6396" width="31.85546875" style="1" customWidth="1"/>
    <col min="6397" max="6397" width="6.85546875" style="1" customWidth="1"/>
    <col min="6398" max="6398" width="7.140625" style="1" customWidth="1"/>
    <col min="6399" max="6400" width="7.28515625" style="1" customWidth="1"/>
    <col min="6401" max="6401" width="9.28515625" style="1" customWidth="1"/>
    <col min="6402" max="6402" width="13.28515625" style="1" bestFit="1" customWidth="1"/>
    <col min="6403" max="6403" width="10.85546875" style="1" customWidth="1"/>
    <col min="6404" max="6404" width="11.28515625" style="1" customWidth="1"/>
    <col min="6405" max="6405" width="9.85546875" style="1" customWidth="1"/>
    <col min="6406" max="6406" width="18.28515625" style="1" customWidth="1"/>
    <col min="6407" max="6407" width="9.140625" style="1"/>
    <col min="6408" max="6408" width="29.42578125" style="1" customWidth="1"/>
    <col min="6409" max="6650" width="9.140625" style="1"/>
    <col min="6651" max="6651" width="7.7109375" style="1" customWidth="1"/>
    <col min="6652" max="6652" width="31.85546875" style="1" customWidth="1"/>
    <col min="6653" max="6653" width="6.85546875" style="1" customWidth="1"/>
    <col min="6654" max="6654" width="7.140625" style="1" customWidth="1"/>
    <col min="6655" max="6656" width="7.28515625" style="1" customWidth="1"/>
    <col min="6657" max="6657" width="9.28515625" style="1" customWidth="1"/>
    <col min="6658" max="6658" width="13.28515625" style="1" bestFit="1" customWidth="1"/>
    <col min="6659" max="6659" width="10.85546875" style="1" customWidth="1"/>
    <col min="6660" max="6660" width="11.28515625" style="1" customWidth="1"/>
    <col min="6661" max="6661" width="9.85546875" style="1" customWidth="1"/>
    <col min="6662" max="6662" width="18.28515625" style="1" customWidth="1"/>
    <col min="6663" max="6663" width="9.140625" style="1"/>
    <col min="6664" max="6664" width="29.42578125" style="1" customWidth="1"/>
    <col min="6665" max="6906" width="9.140625" style="1"/>
    <col min="6907" max="6907" width="7.7109375" style="1" customWidth="1"/>
    <col min="6908" max="6908" width="31.85546875" style="1" customWidth="1"/>
    <col min="6909" max="6909" width="6.85546875" style="1" customWidth="1"/>
    <col min="6910" max="6910" width="7.140625" style="1" customWidth="1"/>
    <col min="6911" max="6912" width="7.28515625" style="1" customWidth="1"/>
    <col min="6913" max="6913" width="9.28515625" style="1" customWidth="1"/>
    <col min="6914" max="6914" width="13.28515625" style="1" bestFit="1" customWidth="1"/>
    <col min="6915" max="6915" width="10.85546875" style="1" customWidth="1"/>
    <col min="6916" max="6916" width="11.28515625" style="1" customWidth="1"/>
    <col min="6917" max="6917" width="9.85546875" style="1" customWidth="1"/>
    <col min="6918" max="6918" width="18.28515625" style="1" customWidth="1"/>
    <col min="6919" max="6919" width="9.140625" style="1"/>
    <col min="6920" max="6920" width="29.42578125" style="1" customWidth="1"/>
    <col min="6921" max="7162" width="9.140625" style="1"/>
    <col min="7163" max="7163" width="7.7109375" style="1" customWidth="1"/>
    <col min="7164" max="7164" width="31.85546875" style="1" customWidth="1"/>
    <col min="7165" max="7165" width="6.85546875" style="1" customWidth="1"/>
    <col min="7166" max="7166" width="7.140625" style="1" customWidth="1"/>
    <col min="7167" max="7168" width="7.28515625" style="1" customWidth="1"/>
    <col min="7169" max="7169" width="9.28515625" style="1" customWidth="1"/>
    <col min="7170" max="7170" width="13.28515625" style="1" bestFit="1" customWidth="1"/>
    <col min="7171" max="7171" width="10.85546875" style="1" customWidth="1"/>
    <col min="7172" max="7172" width="11.28515625" style="1" customWidth="1"/>
    <col min="7173" max="7173" width="9.85546875" style="1" customWidth="1"/>
    <col min="7174" max="7174" width="18.28515625" style="1" customWidth="1"/>
    <col min="7175" max="7175" width="9.140625" style="1"/>
    <col min="7176" max="7176" width="29.42578125" style="1" customWidth="1"/>
    <col min="7177" max="7418" width="9.140625" style="1"/>
    <col min="7419" max="7419" width="7.7109375" style="1" customWidth="1"/>
    <col min="7420" max="7420" width="31.85546875" style="1" customWidth="1"/>
    <col min="7421" max="7421" width="6.85546875" style="1" customWidth="1"/>
    <col min="7422" max="7422" width="7.140625" style="1" customWidth="1"/>
    <col min="7423" max="7424" width="7.28515625" style="1" customWidth="1"/>
    <col min="7425" max="7425" width="9.28515625" style="1" customWidth="1"/>
    <col min="7426" max="7426" width="13.28515625" style="1" bestFit="1" customWidth="1"/>
    <col min="7427" max="7427" width="10.85546875" style="1" customWidth="1"/>
    <col min="7428" max="7428" width="11.28515625" style="1" customWidth="1"/>
    <col min="7429" max="7429" width="9.85546875" style="1" customWidth="1"/>
    <col min="7430" max="7430" width="18.28515625" style="1" customWidth="1"/>
    <col min="7431" max="7431" width="9.140625" style="1"/>
    <col min="7432" max="7432" width="29.42578125" style="1" customWidth="1"/>
    <col min="7433" max="7674" width="9.140625" style="1"/>
    <col min="7675" max="7675" width="7.7109375" style="1" customWidth="1"/>
    <col min="7676" max="7676" width="31.85546875" style="1" customWidth="1"/>
    <col min="7677" max="7677" width="6.85546875" style="1" customWidth="1"/>
    <col min="7678" max="7678" width="7.140625" style="1" customWidth="1"/>
    <col min="7679" max="7680" width="7.28515625" style="1" customWidth="1"/>
    <col min="7681" max="7681" width="9.28515625" style="1" customWidth="1"/>
    <col min="7682" max="7682" width="13.28515625" style="1" bestFit="1" customWidth="1"/>
    <col min="7683" max="7683" width="10.85546875" style="1" customWidth="1"/>
    <col min="7684" max="7684" width="11.28515625" style="1" customWidth="1"/>
    <col min="7685" max="7685" width="9.85546875" style="1" customWidth="1"/>
    <col min="7686" max="7686" width="18.28515625" style="1" customWidth="1"/>
    <col min="7687" max="7687" width="9.140625" style="1"/>
    <col min="7688" max="7688" width="29.42578125" style="1" customWidth="1"/>
    <col min="7689" max="7930" width="9.140625" style="1"/>
    <col min="7931" max="7931" width="7.7109375" style="1" customWidth="1"/>
    <col min="7932" max="7932" width="31.85546875" style="1" customWidth="1"/>
    <col min="7933" max="7933" width="6.85546875" style="1" customWidth="1"/>
    <col min="7934" max="7934" width="7.140625" style="1" customWidth="1"/>
    <col min="7935" max="7936" width="7.28515625" style="1" customWidth="1"/>
    <col min="7937" max="7937" width="9.28515625" style="1" customWidth="1"/>
    <col min="7938" max="7938" width="13.28515625" style="1" bestFit="1" customWidth="1"/>
    <col min="7939" max="7939" width="10.85546875" style="1" customWidth="1"/>
    <col min="7940" max="7940" width="11.28515625" style="1" customWidth="1"/>
    <col min="7941" max="7941" width="9.85546875" style="1" customWidth="1"/>
    <col min="7942" max="7942" width="18.28515625" style="1" customWidth="1"/>
    <col min="7943" max="7943" width="9.140625" style="1"/>
    <col min="7944" max="7944" width="29.42578125" style="1" customWidth="1"/>
    <col min="7945" max="8186" width="9.140625" style="1"/>
    <col min="8187" max="8187" width="7.7109375" style="1" customWidth="1"/>
    <col min="8188" max="8188" width="31.85546875" style="1" customWidth="1"/>
    <col min="8189" max="8189" width="6.85546875" style="1" customWidth="1"/>
    <col min="8190" max="8190" width="7.140625" style="1" customWidth="1"/>
    <col min="8191" max="8192" width="7.28515625" style="1" customWidth="1"/>
    <col min="8193" max="8193" width="9.28515625" style="1" customWidth="1"/>
    <col min="8194" max="8194" width="13.28515625" style="1" bestFit="1" customWidth="1"/>
    <col min="8195" max="8195" width="10.85546875" style="1" customWidth="1"/>
    <col min="8196" max="8196" width="11.28515625" style="1" customWidth="1"/>
    <col min="8197" max="8197" width="9.85546875" style="1" customWidth="1"/>
    <col min="8198" max="8198" width="18.28515625" style="1" customWidth="1"/>
    <col min="8199" max="8199" width="9.140625" style="1"/>
    <col min="8200" max="8200" width="29.42578125" style="1" customWidth="1"/>
    <col min="8201" max="8442" width="9.140625" style="1"/>
    <col min="8443" max="8443" width="7.7109375" style="1" customWidth="1"/>
    <col min="8444" max="8444" width="31.85546875" style="1" customWidth="1"/>
    <col min="8445" max="8445" width="6.85546875" style="1" customWidth="1"/>
    <col min="8446" max="8446" width="7.140625" style="1" customWidth="1"/>
    <col min="8447" max="8448" width="7.28515625" style="1" customWidth="1"/>
    <col min="8449" max="8449" width="9.28515625" style="1" customWidth="1"/>
    <col min="8450" max="8450" width="13.28515625" style="1" bestFit="1" customWidth="1"/>
    <col min="8451" max="8451" width="10.85546875" style="1" customWidth="1"/>
    <col min="8452" max="8452" width="11.28515625" style="1" customWidth="1"/>
    <col min="8453" max="8453" width="9.85546875" style="1" customWidth="1"/>
    <col min="8454" max="8454" width="18.28515625" style="1" customWidth="1"/>
    <col min="8455" max="8455" width="9.140625" style="1"/>
    <col min="8456" max="8456" width="29.42578125" style="1" customWidth="1"/>
    <col min="8457" max="8698" width="9.140625" style="1"/>
    <col min="8699" max="8699" width="7.7109375" style="1" customWidth="1"/>
    <col min="8700" max="8700" width="31.85546875" style="1" customWidth="1"/>
    <col min="8701" max="8701" width="6.85546875" style="1" customWidth="1"/>
    <col min="8702" max="8702" width="7.140625" style="1" customWidth="1"/>
    <col min="8703" max="8704" width="7.28515625" style="1" customWidth="1"/>
    <col min="8705" max="8705" width="9.28515625" style="1" customWidth="1"/>
    <col min="8706" max="8706" width="13.28515625" style="1" bestFit="1" customWidth="1"/>
    <col min="8707" max="8707" width="10.85546875" style="1" customWidth="1"/>
    <col min="8708" max="8708" width="11.28515625" style="1" customWidth="1"/>
    <col min="8709" max="8709" width="9.85546875" style="1" customWidth="1"/>
    <col min="8710" max="8710" width="18.28515625" style="1" customWidth="1"/>
    <col min="8711" max="8711" width="9.140625" style="1"/>
    <col min="8712" max="8712" width="29.42578125" style="1" customWidth="1"/>
    <col min="8713" max="8954" width="9.140625" style="1"/>
    <col min="8955" max="8955" width="7.7109375" style="1" customWidth="1"/>
    <col min="8956" max="8956" width="31.85546875" style="1" customWidth="1"/>
    <col min="8957" max="8957" width="6.85546875" style="1" customWidth="1"/>
    <col min="8958" max="8958" width="7.140625" style="1" customWidth="1"/>
    <col min="8959" max="8960" width="7.28515625" style="1" customWidth="1"/>
    <col min="8961" max="8961" width="9.28515625" style="1" customWidth="1"/>
    <col min="8962" max="8962" width="13.28515625" style="1" bestFit="1" customWidth="1"/>
    <col min="8963" max="8963" width="10.85546875" style="1" customWidth="1"/>
    <col min="8964" max="8964" width="11.28515625" style="1" customWidth="1"/>
    <col min="8965" max="8965" width="9.85546875" style="1" customWidth="1"/>
    <col min="8966" max="8966" width="18.28515625" style="1" customWidth="1"/>
    <col min="8967" max="8967" width="9.140625" style="1"/>
    <col min="8968" max="8968" width="29.42578125" style="1" customWidth="1"/>
    <col min="8969" max="9210" width="9.140625" style="1"/>
    <col min="9211" max="9211" width="7.7109375" style="1" customWidth="1"/>
    <col min="9212" max="9212" width="31.85546875" style="1" customWidth="1"/>
    <col min="9213" max="9213" width="6.85546875" style="1" customWidth="1"/>
    <col min="9214" max="9214" width="7.140625" style="1" customWidth="1"/>
    <col min="9215" max="9216" width="7.28515625" style="1" customWidth="1"/>
    <col min="9217" max="9217" width="9.28515625" style="1" customWidth="1"/>
    <col min="9218" max="9218" width="13.28515625" style="1" bestFit="1" customWidth="1"/>
    <col min="9219" max="9219" width="10.85546875" style="1" customWidth="1"/>
    <col min="9220" max="9220" width="11.28515625" style="1" customWidth="1"/>
    <col min="9221" max="9221" width="9.85546875" style="1" customWidth="1"/>
    <col min="9222" max="9222" width="18.28515625" style="1" customWidth="1"/>
    <col min="9223" max="9223" width="9.140625" style="1"/>
    <col min="9224" max="9224" width="29.42578125" style="1" customWidth="1"/>
    <col min="9225" max="9466" width="9.140625" style="1"/>
    <col min="9467" max="9467" width="7.7109375" style="1" customWidth="1"/>
    <col min="9468" max="9468" width="31.85546875" style="1" customWidth="1"/>
    <col min="9469" max="9469" width="6.85546875" style="1" customWidth="1"/>
    <col min="9470" max="9470" width="7.140625" style="1" customWidth="1"/>
    <col min="9471" max="9472" width="7.28515625" style="1" customWidth="1"/>
    <col min="9473" max="9473" width="9.28515625" style="1" customWidth="1"/>
    <col min="9474" max="9474" width="13.28515625" style="1" bestFit="1" customWidth="1"/>
    <col min="9475" max="9475" width="10.85546875" style="1" customWidth="1"/>
    <col min="9476" max="9476" width="11.28515625" style="1" customWidth="1"/>
    <col min="9477" max="9477" width="9.85546875" style="1" customWidth="1"/>
    <col min="9478" max="9478" width="18.28515625" style="1" customWidth="1"/>
    <col min="9479" max="9479" width="9.140625" style="1"/>
    <col min="9480" max="9480" width="29.42578125" style="1" customWidth="1"/>
    <col min="9481" max="9722" width="9.140625" style="1"/>
    <col min="9723" max="9723" width="7.7109375" style="1" customWidth="1"/>
    <col min="9724" max="9724" width="31.85546875" style="1" customWidth="1"/>
    <col min="9725" max="9725" width="6.85546875" style="1" customWidth="1"/>
    <col min="9726" max="9726" width="7.140625" style="1" customWidth="1"/>
    <col min="9727" max="9728" width="7.28515625" style="1" customWidth="1"/>
    <col min="9729" max="9729" width="9.28515625" style="1" customWidth="1"/>
    <col min="9730" max="9730" width="13.28515625" style="1" bestFit="1" customWidth="1"/>
    <col min="9731" max="9731" width="10.85546875" style="1" customWidth="1"/>
    <col min="9732" max="9732" width="11.28515625" style="1" customWidth="1"/>
    <col min="9733" max="9733" width="9.85546875" style="1" customWidth="1"/>
    <col min="9734" max="9734" width="18.28515625" style="1" customWidth="1"/>
    <col min="9735" max="9735" width="9.140625" style="1"/>
    <col min="9736" max="9736" width="29.42578125" style="1" customWidth="1"/>
    <col min="9737" max="9978" width="9.140625" style="1"/>
    <col min="9979" max="9979" width="7.7109375" style="1" customWidth="1"/>
    <col min="9980" max="9980" width="31.85546875" style="1" customWidth="1"/>
    <col min="9981" max="9981" width="6.85546875" style="1" customWidth="1"/>
    <col min="9982" max="9982" width="7.140625" style="1" customWidth="1"/>
    <col min="9983" max="9984" width="7.28515625" style="1" customWidth="1"/>
    <col min="9985" max="9985" width="9.28515625" style="1" customWidth="1"/>
    <col min="9986" max="9986" width="13.28515625" style="1" bestFit="1" customWidth="1"/>
    <col min="9987" max="9987" width="10.85546875" style="1" customWidth="1"/>
    <col min="9988" max="9988" width="11.28515625" style="1" customWidth="1"/>
    <col min="9989" max="9989" width="9.85546875" style="1" customWidth="1"/>
    <col min="9990" max="9990" width="18.28515625" style="1" customWidth="1"/>
    <col min="9991" max="9991" width="9.140625" style="1"/>
    <col min="9992" max="9992" width="29.42578125" style="1" customWidth="1"/>
    <col min="9993" max="10234" width="9.140625" style="1"/>
    <col min="10235" max="10235" width="7.7109375" style="1" customWidth="1"/>
    <col min="10236" max="10236" width="31.85546875" style="1" customWidth="1"/>
    <col min="10237" max="10237" width="6.85546875" style="1" customWidth="1"/>
    <col min="10238" max="10238" width="7.140625" style="1" customWidth="1"/>
    <col min="10239" max="10240" width="7.28515625" style="1" customWidth="1"/>
    <col min="10241" max="10241" width="9.28515625" style="1" customWidth="1"/>
    <col min="10242" max="10242" width="13.28515625" style="1" bestFit="1" customWidth="1"/>
    <col min="10243" max="10243" width="10.85546875" style="1" customWidth="1"/>
    <col min="10244" max="10244" width="11.28515625" style="1" customWidth="1"/>
    <col min="10245" max="10245" width="9.85546875" style="1" customWidth="1"/>
    <col min="10246" max="10246" width="18.28515625" style="1" customWidth="1"/>
    <col min="10247" max="10247" width="9.140625" style="1"/>
    <col min="10248" max="10248" width="29.42578125" style="1" customWidth="1"/>
    <col min="10249" max="10490" width="9.140625" style="1"/>
    <col min="10491" max="10491" width="7.7109375" style="1" customWidth="1"/>
    <col min="10492" max="10492" width="31.85546875" style="1" customWidth="1"/>
    <col min="10493" max="10493" width="6.85546875" style="1" customWidth="1"/>
    <col min="10494" max="10494" width="7.140625" style="1" customWidth="1"/>
    <col min="10495" max="10496" width="7.28515625" style="1" customWidth="1"/>
    <col min="10497" max="10497" width="9.28515625" style="1" customWidth="1"/>
    <col min="10498" max="10498" width="13.28515625" style="1" bestFit="1" customWidth="1"/>
    <col min="10499" max="10499" width="10.85546875" style="1" customWidth="1"/>
    <col min="10500" max="10500" width="11.28515625" style="1" customWidth="1"/>
    <col min="10501" max="10501" width="9.85546875" style="1" customWidth="1"/>
    <col min="10502" max="10502" width="18.28515625" style="1" customWidth="1"/>
    <col min="10503" max="10503" width="9.140625" style="1"/>
    <col min="10504" max="10504" width="29.42578125" style="1" customWidth="1"/>
    <col min="10505" max="10746" width="9.140625" style="1"/>
    <col min="10747" max="10747" width="7.7109375" style="1" customWidth="1"/>
    <col min="10748" max="10748" width="31.85546875" style="1" customWidth="1"/>
    <col min="10749" max="10749" width="6.85546875" style="1" customWidth="1"/>
    <col min="10750" max="10750" width="7.140625" style="1" customWidth="1"/>
    <col min="10751" max="10752" width="7.28515625" style="1" customWidth="1"/>
    <col min="10753" max="10753" width="9.28515625" style="1" customWidth="1"/>
    <col min="10754" max="10754" width="13.28515625" style="1" bestFit="1" customWidth="1"/>
    <col min="10755" max="10755" width="10.85546875" style="1" customWidth="1"/>
    <col min="10756" max="10756" width="11.28515625" style="1" customWidth="1"/>
    <col min="10757" max="10757" width="9.85546875" style="1" customWidth="1"/>
    <col min="10758" max="10758" width="18.28515625" style="1" customWidth="1"/>
    <col min="10759" max="10759" width="9.140625" style="1"/>
    <col min="10760" max="10760" width="29.42578125" style="1" customWidth="1"/>
    <col min="10761" max="11002" width="9.140625" style="1"/>
    <col min="11003" max="11003" width="7.7109375" style="1" customWidth="1"/>
    <col min="11004" max="11004" width="31.85546875" style="1" customWidth="1"/>
    <col min="11005" max="11005" width="6.85546875" style="1" customWidth="1"/>
    <col min="11006" max="11006" width="7.140625" style="1" customWidth="1"/>
    <col min="11007" max="11008" width="7.28515625" style="1" customWidth="1"/>
    <col min="11009" max="11009" width="9.28515625" style="1" customWidth="1"/>
    <col min="11010" max="11010" width="13.28515625" style="1" bestFit="1" customWidth="1"/>
    <col min="11011" max="11011" width="10.85546875" style="1" customWidth="1"/>
    <col min="11012" max="11012" width="11.28515625" style="1" customWidth="1"/>
    <col min="11013" max="11013" width="9.85546875" style="1" customWidth="1"/>
    <col min="11014" max="11014" width="18.28515625" style="1" customWidth="1"/>
    <col min="11015" max="11015" width="9.140625" style="1"/>
    <col min="11016" max="11016" width="29.42578125" style="1" customWidth="1"/>
    <col min="11017" max="11258" width="9.140625" style="1"/>
    <col min="11259" max="11259" width="7.7109375" style="1" customWidth="1"/>
    <col min="11260" max="11260" width="31.85546875" style="1" customWidth="1"/>
    <col min="11261" max="11261" width="6.85546875" style="1" customWidth="1"/>
    <col min="11262" max="11262" width="7.140625" style="1" customWidth="1"/>
    <col min="11263" max="11264" width="7.28515625" style="1" customWidth="1"/>
    <col min="11265" max="11265" width="9.28515625" style="1" customWidth="1"/>
    <col min="11266" max="11266" width="13.28515625" style="1" bestFit="1" customWidth="1"/>
    <col min="11267" max="11267" width="10.85546875" style="1" customWidth="1"/>
    <col min="11268" max="11268" width="11.28515625" style="1" customWidth="1"/>
    <col min="11269" max="11269" width="9.85546875" style="1" customWidth="1"/>
    <col min="11270" max="11270" width="18.28515625" style="1" customWidth="1"/>
    <col min="11271" max="11271" width="9.140625" style="1"/>
    <col min="11272" max="11272" width="29.42578125" style="1" customWidth="1"/>
    <col min="11273" max="11514" width="9.140625" style="1"/>
    <col min="11515" max="11515" width="7.7109375" style="1" customWidth="1"/>
    <col min="11516" max="11516" width="31.85546875" style="1" customWidth="1"/>
    <col min="11517" max="11517" width="6.85546875" style="1" customWidth="1"/>
    <col min="11518" max="11518" width="7.140625" style="1" customWidth="1"/>
    <col min="11519" max="11520" width="7.28515625" style="1" customWidth="1"/>
    <col min="11521" max="11521" width="9.28515625" style="1" customWidth="1"/>
    <col min="11522" max="11522" width="13.28515625" style="1" bestFit="1" customWidth="1"/>
    <col min="11523" max="11523" width="10.85546875" style="1" customWidth="1"/>
    <col min="11524" max="11524" width="11.28515625" style="1" customWidth="1"/>
    <col min="11525" max="11525" width="9.85546875" style="1" customWidth="1"/>
    <col min="11526" max="11526" width="18.28515625" style="1" customWidth="1"/>
    <col min="11527" max="11527" width="9.140625" style="1"/>
    <col min="11528" max="11528" width="29.42578125" style="1" customWidth="1"/>
    <col min="11529" max="11770" width="9.140625" style="1"/>
    <col min="11771" max="11771" width="7.7109375" style="1" customWidth="1"/>
    <col min="11772" max="11772" width="31.85546875" style="1" customWidth="1"/>
    <col min="11773" max="11773" width="6.85546875" style="1" customWidth="1"/>
    <col min="11774" max="11774" width="7.140625" style="1" customWidth="1"/>
    <col min="11775" max="11776" width="7.28515625" style="1" customWidth="1"/>
    <col min="11777" max="11777" width="9.28515625" style="1" customWidth="1"/>
    <col min="11778" max="11778" width="13.28515625" style="1" bestFit="1" customWidth="1"/>
    <col min="11779" max="11779" width="10.85546875" style="1" customWidth="1"/>
    <col min="11780" max="11780" width="11.28515625" style="1" customWidth="1"/>
    <col min="11781" max="11781" width="9.85546875" style="1" customWidth="1"/>
    <col min="11782" max="11782" width="18.28515625" style="1" customWidth="1"/>
    <col min="11783" max="11783" width="9.140625" style="1"/>
    <col min="11784" max="11784" width="29.42578125" style="1" customWidth="1"/>
    <col min="11785" max="12026" width="9.140625" style="1"/>
    <col min="12027" max="12027" width="7.7109375" style="1" customWidth="1"/>
    <col min="12028" max="12028" width="31.85546875" style="1" customWidth="1"/>
    <col min="12029" max="12029" width="6.85546875" style="1" customWidth="1"/>
    <col min="12030" max="12030" width="7.140625" style="1" customWidth="1"/>
    <col min="12031" max="12032" width="7.28515625" style="1" customWidth="1"/>
    <col min="12033" max="12033" width="9.28515625" style="1" customWidth="1"/>
    <col min="12034" max="12034" width="13.28515625" style="1" bestFit="1" customWidth="1"/>
    <col min="12035" max="12035" width="10.85546875" style="1" customWidth="1"/>
    <col min="12036" max="12036" width="11.28515625" style="1" customWidth="1"/>
    <col min="12037" max="12037" width="9.85546875" style="1" customWidth="1"/>
    <col min="12038" max="12038" width="18.28515625" style="1" customWidth="1"/>
    <col min="12039" max="12039" width="9.140625" style="1"/>
    <col min="12040" max="12040" width="29.42578125" style="1" customWidth="1"/>
    <col min="12041" max="12282" width="9.140625" style="1"/>
    <col min="12283" max="12283" width="7.7109375" style="1" customWidth="1"/>
    <col min="12284" max="12284" width="31.85546875" style="1" customWidth="1"/>
    <col min="12285" max="12285" width="6.85546875" style="1" customWidth="1"/>
    <col min="12286" max="12286" width="7.140625" style="1" customWidth="1"/>
    <col min="12287" max="12288" width="7.28515625" style="1" customWidth="1"/>
    <col min="12289" max="12289" width="9.28515625" style="1" customWidth="1"/>
    <col min="12290" max="12290" width="13.28515625" style="1" bestFit="1" customWidth="1"/>
    <col min="12291" max="12291" width="10.85546875" style="1" customWidth="1"/>
    <col min="12292" max="12292" width="11.28515625" style="1" customWidth="1"/>
    <col min="12293" max="12293" width="9.85546875" style="1" customWidth="1"/>
    <col min="12294" max="12294" width="18.28515625" style="1" customWidth="1"/>
    <col min="12295" max="12295" width="9.140625" style="1"/>
    <col min="12296" max="12296" width="29.42578125" style="1" customWidth="1"/>
    <col min="12297" max="12538" width="9.140625" style="1"/>
    <col min="12539" max="12539" width="7.7109375" style="1" customWidth="1"/>
    <col min="12540" max="12540" width="31.85546875" style="1" customWidth="1"/>
    <col min="12541" max="12541" width="6.85546875" style="1" customWidth="1"/>
    <col min="12542" max="12542" width="7.140625" style="1" customWidth="1"/>
    <col min="12543" max="12544" width="7.28515625" style="1" customWidth="1"/>
    <col min="12545" max="12545" width="9.28515625" style="1" customWidth="1"/>
    <col min="12546" max="12546" width="13.28515625" style="1" bestFit="1" customWidth="1"/>
    <col min="12547" max="12547" width="10.85546875" style="1" customWidth="1"/>
    <col min="12548" max="12548" width="11.28515625" style="1" customWidth="1"/>
    <col min="12549" max="12549" width="9.85546875" style="1" customWidth="1"/>
    <col min="12550" max="12550" width="18.28515625" style="1" customWidth="1"/>
    <col min="12551" max="12551" width="9.140625" style="1"/>
    <col min="12552" max="12552" width="29.42578125" style="1" customWidth="1"/>
    <col min="12553" max="12794" width="9.140625" style="1"/>
    <col min="12795" max="12795" width="7.7109375" style="1" customWidth="1"/>
    <col min="12796" max="12796" width="31.85546875" style="1" customWidth="1"/>
    <col min="12797" max="12797" width="6.85546875" style="1" customWidth="1"/>
    <col min="12798" max="12798" width="7.140625" style="1" customWidth="1"/>
    <col min="12799" max="12800" width="7.28515625" style="1" customWidth="1"/>
    <col min="12801" max="12801" width="9.28515625" style="1" customWidth="1"/>
    <col min="12802" max="12802" width="13.28515625" style="1" bestFit="1" customWidth="1"/>
    <col min="12803" max="12803" width="10.85546875" style="1" customWidth="1"/>
    <col min="12804" max="12804" width="11.28515625" style="1" customWidth="1"/>
    <col min="12805" max="12805" width="9.85546875" style="1" customWidth="1"/>
    <col min="12806" max="12806" width="18.28515625" style="1" customWidth="1"/>
    <col min="12807" max="12807" width="9.140625" style="1"/>
    <col min="12808" max="12808" width="29.42578125" style="1" customWidth="1"/>
    <col min="12809" max="13050" width="9.140625" style="1"/>
    <col min="13051" max="13051" width="7.7109375" style="1" customWidth="1"/>
    <col min="13052" max="13052" width="31.85546875" style="1" customWidth="1"/>
    <col min="13053" max="13053" width="6.85546875" style="1" customWidth="1"/>
    <col min="13054" max="13054" width="7.140625" style="1" customWidth="1"/>
    <col min="13055" max="13056" width="7.28515625" style="1" customWidth="1"/>
    <col min="13057" max="13057" width="9.28515625" style="1" customWidth="1"/>
    <col min="13058" max="13058" width="13.28515625" style="1" bestFit="1" customWidth="1"/>
    <col min="13059" max="13059" width="10.85546875" style="1" customWidth="1"/>
    <col min="13060" max="13060" width="11.28515625" style="1" customWidth="1"/>
    <col min="13061" max="13061" width="9.85546875" style="1" customWidth="1"/>
    <col min="13062" max="13062" width="18.28515625" style="1" customWidth="1"/>
    <col min="13063" max="13063" width="9.140625" style="1"/>
    <col min="13064" max="13064" width="29.42578125" style="1" customWidth="1"/>
    <col min="13065" max="13306" width="9.140625" style="1"/>
    <col min="13307" max="13307" width="7.7109375" style="1" customWidth="1"/>
    <col min="13308" max="13308" width="31.85546875" style="1" customWidth="1"/>
    <col min="13309" max="13309" width="6.85546875" style="1" customWidth="1"/>
    <col min="13310" max="13310" width="7.140625" style="1" customWidth="1"/>
    <col min="13311" max="13312" width="7.28515625" style="1" customWidth="1"/>
    <col min="13313" max="13313" width="9.28515625" style="1" customWidth="1"/>
    <col min="13314" max="13314" width="13.28515625" style="1" bestFit="1" customWidth="1"/>
    <col min="13315" max="13315" width="10.85546875" style="1" customWidth="1"/>
    <col min="13316" max="13316" width="11.28515625" style="1" customWidth="1"/>
    <col min="13317" max="13317" width="9.85546875" style="1" customWidth="1"/>
    <col min="13318" max="13318" width="18.28515625" style="1" customWidth="1"/>
    <col min="13319" max="13319" width="9.140625" style="1"/>
    <col min="13320" max="13320" width="29.42578125" style="1" customWidth="1"/>
    <col min="13321" max="13562" width="9.140625" style="1"/>
    <col min="13563" max="13563" width="7.7109375" style="1" customWidth="1"/>
    <col min="13564" max="13564" width="31.85546875" style="1" customWidth="1"/>
    <col min="13565" max="13565" width="6.85546875" style="1" customWidth="1"/>
    <col min="13566" max="13566" width="7.140625" style="1" customWidth="1"/>
    <col min="13567" max="13568" width="7.28515625" style="1" customWidth="1"/>
    <col min="13569" max="13569" width="9.28515625" style="1" customWidth="1"/>
    <col min="13570" max="13570" width="13.28515625" style="1" bestFit="1" customWidth="1"/>
    <col min="13571" max="13571" width="10.85546875" style="1" customWidth="1"/>
    <col min="13572" max="13572" width="11.28515625" style="1" customWidth="1"/>
    <col min="13573" max="13573" width="9.85546875" style="1" customWidth="1"/>
    <col min="13574" max="13574" width="18.28515625" style="1" customWidth="1"/>
    <col min="13575" max="13575" width="9.140625" style="1"/>
    <col min="13576" max="13576" width="29.42578125" style="1" customWidth="1"/>
    <col min="13577" max="13818" width="9.140625" style="1"/>
    <col min="13819" max="13819" width="7.7109375" style="1" customWidth="1"/>
    <col min="13820" max="13820" width="31.85546875" style="1" customWidth="1"/>
    <col min="13821" max="13821" width="6.85546875" style="1" customWidth="1"/>
    <col min="13822" max="13822" width="7.140625" style="1" customWidth="1"/>
    <col min="13823" max="13824" width="7.28515625" style="1" customWidth="1"/>
    <col min="13825" max="13825" width="9.28515625" style="1" customWidth="1"/>
    <col min="13826" max="13826" width="13.28515625" style="1" bestFit="1" customWidth="1"/>
    <col min="13827" max="13827" width="10.85546875" style="1" customWidth="1"/>
    <col min="13828" max="13828" width="11.28515625" style="1" customWidth="1"/>
    <col min="13829" max="13829" width="9.85546875" style="1" customWidth="1"/>
    <col min="13830" max="13830" width="18.28515625" style="1" customWidth="1"/>
    <col min="13831" max="13831" width="9.140625" style="1"/>
    <col min="13832" max="13832" width="29.42578125" style="1" customWidth="1"/>
    <col min="13833" max="14074" width="9.140625" style="1"/>
    <col min="14075" max="14075" width="7.7109375" style="1" customWidth="1"/>
    <col min="14076" max="14076" width="31.85546875" style="1" customWidth="1"/>
    <col min="14077" max="14077" width="6.85546875" style="1" customWidth="1"/>
    <col min="14078" max="14078" width="7.140625" style="1" customWidth="1"/>
    <col min="14079" max="14080" width="7.28515625" style="1" customWidth="1"/>
    <col min="14081" max="14081" width="9.28515625" style="1" customWidth="1"/>
    <col min="14082" max="14082" width="13.28515625" style="1" bestFit="1" customWidth="1"/>
    <col min="14083" max="14083" width="10.85546875" style="1" customWidth="1"/>
    <col min="14084" max="14084" width="11.28515625" style="1" customWidth="1"/>
    <col min="14085" max="14085" width="9.85546875" style="1" customWidth="1"/>
    <col min="14086" max="14086" width="18.28515625" style="1" customWidth="1"/>
    <col min="14087" max="14087" width="9.140625" style="1"/>
    <col min="14088" max="14088" width="29.42578125" style="1" customWidth="1"/>
    <col min="14089" max="14330" width="9.140625" style="1"/>
    <col min="14331" max="14331" width="7.7109375" style="1" customWidth="1"/>
    <col min="14332" max="14332" width="31.85546875" style="1" customWidth="1"/>
    <col min="14333" max="14333" width="6.85546875" style="1" customWidth="1"/>
    <col min="14334" max="14334" width="7.140625" style="1" customWidth="1"/>
    <col min="14335" max="14336" width="7.28515625" style="1" customWidth="1"/>
    <col min="14337" max="14337" width="9.28515625" style="1" customWidth="1"/>
    <col min="14338" max="14338" width="13.28515625" style="1" bestFit="1" customWidth="1"/>
    <col min="14339" max="14339" width="10.85546875" style="1" customWidth="1"/>
    <col min="14340" max="14340" width="11.28515625" style="1" customWidth="1"/>
    <col min="14341" max="14341" width="9.85546875" style="1" customWidth="1"/>
    <col min="14342" max="14342" width="18.28515625" style="1" customWidth="1"/>
    <col min="14343" max="14343" width="9.140625" style="1"/>
    <col min="14344" max="14344" width="29.42578125" style="1" customWidth="1"/>
    <col min="14345" max="14586" width="9.140625" style="1"/>
    <col min="14587" max="14587" width="7.7109375" style="1" customWidth="1"/>
    <col min="14588" max="14588" width="31.85546875" style="1" customWidth="1"/>
    <col min="14589" max="14589" width="6.85546875" style="1" customWidth="1"/>
    <col min="14590" max="14590" width="7.140625" style="1" customWidth="1"/>
    <col min="14591" max="14592" width="7.28515625" style="1" customWidth="1"/>
    <col min="14593" max="14593" width="9.28515625" style="1" customWidth="1"/>
    <col min="14594" max="14594" width="13.28515625" style="1" bestFit="1" customWidth="1"/>
    <col min="14595" max="14595" width="10.85546875" style="1" customWidth="1"/>
    <col min="14596" max="14596" width="11.28515625" style="1" customWidth="1"/>
    <col min="14597" max="14597" width="9.85546875" style="1" customWidth="1"/>
    <col min="14598" max="14598" width="18.28515625" style="1" customWidth="1"/>
    <col min="14599" max="14599" width="9.140625" style="1"/>
    <col min="14600" max="14600" width="29.42578125" style="1" customWidth="1"/>
    <col min="14601" max="14842" width="9.140625" style="1"/>
    <col min="14843" max="14843" width="7.7109375" style="1" customWidth="1"/>
    <col min="14844" max="14844" width="31.85546875" style="1" customWidth="1"/>
    <col min="14845" max="14845" width="6.85546875" style="1" customWidth="1"/>
    <col min="14846" max="14846" width="7.140625" style="1" customWidth="1"/>
    <col min="14847" max="14848" width="7.28515625" style="1" customWidth="1"/>
    <col min="14849" max="14849" width="9.28515625" style="1" customWidth="1"/>
    <col min="14850" max="14850" width="13.28515625" style="1" bestFit="1" customWidth="1"/>
    <col min="14851" max="14851" width="10.85546875" style="1" customWidth="1"/>
    <col min="14852" max="14852" width="11.28515625" style="1" customWidth="1"/>
    <col min="14853" max="14853" width="9.85546875" style="1" customWidth="1"/>
    <col min="14854" max="14854" width="18.28515625" style="1" customWidth="1"/>
    <col min="14855" max="14855" width="9.140625" style="1"/>
    <col min="14856" max="14856" width="29.42578125" style="1" customWidth="1"/>
    <col min="14857" max="15098" width="9.140625" style="1"/>
    <col min="15099" max="15099" width="7.7109375" style="1" customWidth="1"/>
    <col min="15100" max="15100" width="31.85546875" style="1" customWidth="1"/>
    <col min="15101" max="15101" width="6.85546875" style="1" customWidth="1"/>
    <col min="15102" max="15102" width="7.140625" style="1" customWidth="1"/>
    <col min="15103" max="15104" width="7.28515625" style="1" customWidth="1"/>
    <col min="15105" max="15105" width="9.28515625" style="1" customWidth="1"/>
    <col min="15106" max="15106" width="13.28515625" style="1" bestFit="1" customWidth="1"/>
    <col min="15107" max="15107" width="10.85546875" style="1" customWidth="1"/>
    <col min="15108" max="15108" width="11.28515625" style="1" customWidth="1"/>
    <col min="15109" max="15109" width="9.85546875" style="1" customWidth="1"/>
    <col min="15110" max="15110" width="18.28515625" style="1" customWidth="1"/>
    <col min="15111" max="15111" width="9.140625" style="1"/>
    <col min="15112" max="15112" width="29.42578125" style="1" customWidth="1"/>
    <col min="15113" max="15354" width="9.140625" style="1"/>
    <col min="15355" max="15355" width="7.7109375" style="1" customWidth="1"/>
    <col min="15356" max="15356" width="31.85546875" style="1" customWidth="1"/>
    <col min="15357" max="15357" width="6.85546875" style="1" customWidth="1"/>
    <col min="15358" max="15358" width="7.140625" style="1" customWidth="1"/>
    <col min="15359" max="15360" width="7.28515625" style="1" customWidth="1"/>
    <col min="15361" max="15361" width="9.28515625" style="1" customWidth="1"/>
    <col min="15362" max="15362" width="13.28515625" style="1" bestFit="1" customWidth="1"/>
    <col min="15363" max="15363" width="10.85546875" style="1" customWidth="1"/>
    <col min="15364" max="15364" width="11.28515625" style="1" customWidth="1"/>
    <col min="15365" max="15365" width="9.85546875" style="1" customWidth="1"/>
    <col min="15366" max="15366" width="18.28515625" style="1" customWidth="1"/>
    <col min="15367" max="15367" width="9.140625" style="1"/>
    <col min="15368" max="15368" width="29.42578125" style="1" customWidth="1"/>
    <col min="15369" max="15610" width="9.140625" style="1"/>
    <col min="15611" max="15611" width="7.7109375" style="1" customWidth="1"/>
    <col min="15612" max="15612" width="31.85546875" style="1" customWidth="1"/>
    <col min="15613" max="15613" width="6.85546875" style="1" customWidth="1"/>
    <col min="15614" max="15614" width="7.140625" style="1" customWidth="1"/>
    <col min="15615" max="15616" width="7.28515625" style="1" customWidth="1"/>
    <col min="15617" max="15617" width="9.28515625" style="1" customWidth="1"/>
    <col min="15618" max="15618" width="13.28515625" style="1" bestFit="1" customWidth="1"/>
    <col min="15619" max="15619" width="10.85546875" style="1" customWidth="1"/>
    <col min="15620" max="15620" width="11.28515625" style="1" customWidth="1"/>
    <col min="15621" max="15621" width="9.85546875" style="1" customWidth="1"/>
    <col min="15622" max="15622" width="18.28515625" style="1" customWidth="1"/>
    <col min="15623" max="15623" width="9.140625" style="1"/>
    <col min="15624" max="15624" width="29.42578125" style="1" customWidth="1"/>
    <col min="15625" max="15866" width="9.140625" style="1"/>
    <col min="15867" max="15867" width="7.7109375" style="1" customWidth="1"/>
    <col min="15868" max="15868" width="31.85546875" style="1" customWidth="1"/>
    <col min="15869" max="15869" width="6.85546875" style="1" customWidth="1"/>
    <col min="15870" max="15870" width="7.140625" style="1" customWidth="1"/>
    <col min="15871" max="15872" width="7.28515625" style="1" customWidth="1"/>
    <col min="15873" max="15873" width="9.28515625" style="1" customWidth="1"/>
    <col min="15874" max="15874" width="13.28515625" style="1" bestFit="1" customWidth="1"/>
    <col min="15875" max="15875" width="10.85546875" style="1" customWidth="1"/>
    <col min="15876" max="15876" width="11.28515625" style="1" customWidth="1"/>
    <col min="15877" max="15877" width="9.85546875" style="1" customWidth="1"/>
    <col min="15878" max="15878" width="18.28515625" style="1" customWidth="1"/>
    <col min="15879" max="15879" width="9.140625" style="1"/>
    <col min="15880" max="15880" width="29.42578125" style="1" customWidth="1"/>
    <col min="15881" max="16122" width="9.140625" style="1"/>
    <col min="16123" max="16123" width="7.7109375" style="1" customWidth="1"/>
    <col min="16124" max="16124" width="31.85546875" style="1" customWidth="1"/>
    <col min="16125" max="16125" width="6.85546875" style="1" customWidth="1"/>
    <col min="16126" max="16126" width="7.140625" style="1" customWidth="1"/>
    <col min="16127" max="16128" width="7.28515625" style="1" customWidth="1"/>
    <col min="16129" max="16129" width="9.28515625" style="1" customWidth="1"/>
    <col min="16130" max="16130" width="13.28515625" style="1" bestFit="1" customWidth="1"/>
    <col min="16131" max="16131" width="10.85546875" style="1" customWidth="1"/>
    <col min="16132" max="16132" width="11.28515625" style="1" customWidth="1"/>
    <col min="16133" max="16133" width="9.85546875" style="1" customWidth="1"/>
    <col min="16134" max="16134" width="18.28515625" style="1" customWidth="1"/>
    <col min="16135" max="16135" width="9.140625" style="1"/>
    <col min="16136" max="16136" width="29.42578125" style="1" customWidth="1"/>
    <col min="16137" max="16384" width="9.140625" style="1"/>
  </cols>
  <sheetData>
    <row r="1" spans="1:11" ht="18.75" x14ac:dyDescent="0.25">
      <c r="A1" s="126" t="s">
        <v>291</v>
      </c>
      <c r="B1" s="136"/>
      <c r="C1" s="255"/>
      <c r="D1" s="255"/>
      <c r="E1" s="137"/>
      <c r="F1" s="137"/>
      <c r="G1" s="138"/>
      <c r="H1" s="138"/>
      <c r="I1" s="139" t="s">
        <v>288</v>
      </c>
      <c r="J1" s="140"/>
      <c r="K1" s="140"/>
    </row>
    <row r="2" spans="1:11" x14ac:dyDescent="0.25">
      <c r="A2" s="126" t="s">
        <v>1</v>
      </c>
      <c r="B2" s="136"/>
      <c r="C2" s="137"/>
      <c r="D2" s="137"/>
      <c r="E2" s="137"/>
      <c r="F2" s="137"/>
      <c r="G2" s="138"/>
      <c r="H2" s="138"/>
      <c r="I2" s="138"/>
      <c r="J2" s="138"/>
      <c r="K2" s="138"/>
    </row>
    <row r="3" spans="1:11" x14ac:dyDescent="0.25">
      <c r="A3" s="141"/>
      <c r="B3" s="136"/>
      <c r="C3" s="137"/>
      <c r="D3" s="137"/>
      <c r="E3" s="137"/>
      <c r="F3" s="137"/>
      <c r="G3" s="138"/>
      <c r="H3" s="138"/>
      <c r="I3" s="138"/>
      <c r="J3" s="138"/>
      <c r="K3" s="138"/>
    </row>
    <row r="4" spans="1:11" x14ac:dyDescent="0.25">
      <c r="A4" s="256" t="s">
        <v>377</v>
      </c>
      <c r="B4" s="256"/>
      <c r="C4" s="256"/>
      <c r="D4" s="256"/>
      <c r="E4" s="256"/>
      <c r="F4" s="256"/>
      <c r="G4" s="256"/>
      <c r="H4" s="256"/>
      <c r="I4" s="256"/>
      <c r="J4" s="256"/>
      <c r="K4" s="256"/>
    </row>
    <row r="5" spans="1:11" x14ac:dyDescent="0.25">
      <c r="A5" s="257" t="str">
        <f>thu!A5</f>
        <v>(Kèm theo Nghị quyết số            /NQ-HĐND ngày          /12/2022 của HĐND huyện Nghi Xuân)</v>
      </c>
      <c r="B5" s="258"/>
      <c r="C5" s="258"/>
      <c r="D5" s="258"/>
      <c r="E5" s="258"/>
      <c r="F5" s="258"/>
      <c r="G5" s="258"/>
      <c r="H5" s="258"/>
      <c r="I5" s="258"/>
      <c r="J5" s="258"/>
      <c r="K5" s="258"/>
    </row>
    <row r="6" spans="1:11" x14ac:dyDescent="0.25">
      <c r="A6" s="142"/>
      <c r="B6" s="142"/>
      <c r="C6" s="142"/>
      <c r="D6" s="142"/>
      <c r="E6" s="142"/>
      <c r="F6" s="142"/>
      <c r="G6" s="142"/>
      <c r="H6" s="142"/>
      <c r="I6" s="142"/>
      <c r="J6" s="142"/>
      <c r="K6" s="142"/>
    </row>
    <row r="7" spans="1:11" x14ac:dyDescent="0.25">
      <c r="A7" s="138"/>
      <c r="B7" s="136"/>
      <c r="C7" s="137"/>
      <c r="D7" s="137"/>
      <c r="E7" s="137"/>
      <c r="F7" s="137"/>
      <c r="G7" s="138"/>
      <c r="H7" s="138"/>
      <c r="I7" s="259" t="s">
        <v>378</v>
      </c>
      <c r="J7" s="259"/>
      <c r="K7" s="143"/>
    </row>
    <row r="8" spans="1:11" s="2" customFormat="1" x14ac:dyDescent="0.25">
      <c r="A8" s="260" t="s">
        <v>2</v>
      </c>
      <c r="B8" s="260" t="s">
        <v>379</v>
      </c>
      <c r="C8" s="262" t="s">
        <v>380</v>
      </c>
      <c r="D8" s="263"/>
      <c r="E8" s="263"/>
      <c r="F8" s="264"/>
      <c r="G8" s="265" t="s">
        <v>381</v>
      </c>
      <c r="H8" s="267" t="s">
        <v>382</v>
      </c>
      <c r="I8" s="268"/>
      <c r="J8" s="268"/>
      <c r="K8" s="269"/>
    </row>
    <row r="9" spans="1:11" s="2" customFormat="1" ht="21" x14ac:dyDescent="0.25">
      <c r="A9" s="261"/>
      <c r="B9" s="261"/>
      <c r="C9" s="144" t="s">
        <v>383</v>
      </c>
      <c r="D9" s="144" t="s">
        <v>384</v>
      </c>
      <c r="E9" s="144" t="s">
        <v>385</v>
      </c>
      <c r="F9" s="144" t="s">
        <v>386</v>
      </c>
      <c r="G9" s="266"/>
      <c r="H9" s="145" t="s">
        <v>387</v>
      </c>
      <c r="I9" s="145" t="s">
        <v>388</v>
      </c>
      <c r="J9" s="145" t="s">
        <v>389</v>
      </c>
      <c r="K9" s="145" t="s">
        <v>390</v>
      </c>
    </row>
    <row r="10" spans="1:11" s="149" customFormat="1" ht="18" customHeight="1" x14ac:dyDescent="0.25">
      <c r="A10" s="146"/>
      <c r="B10" s="146" t="s">
        <v>391</v>
      </c>
      <c r="C10" s="147"/>
      <c r="D10" s="147"/>
      <c r="E10" s="147"/>
      <c r="F10" s="147"/>
      <c r="G10" s="148">
        <f>G11+G19+G27+G41+G42+G43+G46+G55+G56+G59+G62+G99+G100</f>
        <v>383550</v>
      </c>
      <c r="H10" s="148">
        <f>H11+H19+H27+H41+H42+H43+H46+H55+H56+H59+H62+H99+H100</f>
        <v>4500</v>
      </c>
      <c r="I10" s="148">
        <f>I11+I19+I27+I41+I42+I43+I46+I55+I56+I59+I62+I99+I100</f>
        <v>112518</v>
      </c>
      <c r="J10" s="148">
        <f>J11+J19+J27+J41+J42+J43+J46+J55+J56+J59+J62+J99+J100</f>
        <v>187449</v>
      </c>
      <c r="K10" s="148">
        <f>K11+K19+K27+K41+K42+K43+K46+K55+K56+K59+K62+K99+K100</f>
        <v>79083</v>
      </c>
    </row>
    <row r="11" spans="1:11" s="149" customFormat="1" ht="18" customHeight="1" x14ac:dyDescent="0.25">
      <c r="A11" s="150">
        <v>1</v>
      </c>
      <c r="B11" s="151" t="s">
        <v>3</v>
      </c>
      <c r="C11" s="152"/>
      <c r="D11" s="152"/>
      <c r="E11" s="152"/>
      <c r="F11" s="152"/>
      <c r="G11" s="153">
        <v>5500</v>
      </c>
      <c r="H11" s="153">
        <f>H12+H13+H16</f>
        <v>0</v>
      </c>
      <c r="I11" s="153">
        <f>I12+I13+I16</f>
        <v>3300</v>
      </c>
      <c r="J11" s="153">
        <f>J12+J13+J16</f>
        <v>2200</v>
      </c>
      <c r="K11" s="153">
        <f>K12+K13+K16</f>
        <v>0</v>
      </c>
    </row>
    <row r="12" spans="1:11" s="149" customFormat="1" ht="18" customHeight="1" x14ac:dyDescent="0.25">
      <c r="A12" s="154" t="s">
        <v>392</v>
      </c>
      <c r="B12" s="155" t="s">
        <v>393</v>
      </c>
      <c r="C12" s="156"/>
      <c r="D12" s="156">
        <v>0.6</v>
      </c>
      <c r="E12" s="156">
        <v>0.4</v>
      </c>
      <c r="F12" s="156"/>
      <c r="G12" s="157">
        <f>G11-G13-G16</f>
        <v>5500</v>
      </c>
      <c r="H12" s="157">
        <f>ROUND((G12*C12),0)</f>
        <v>0</v>
      </c>
      <c r="I12" s="157">
        <f>G12-H12-J12-K12</f>
        <v>3300</v>
      </c>
      <c r="J12" s="157">
        <f>ROUND((G12*E12),0)</f>
        <v>2200</v>
      </c>
      <c r="K12" s="157">
        <f>ROUND((G12*F12),0)</f>
        <v>0</v>
      </c>
    </row>
    <row r="13" spans="1:11" s="149" customFormat="1" ht="18" customHeight="1" x14ac:dyDescent="0.25">
      <c r="A13" s="154" t="s">
        <v>394</v>
      </c>
      <c r="B13" s="155" t="s">
        <v>395</v>
      </c>
      <c r="C13" s="156"/>
      <c r="D13" s="156"/>
      <c r="E13" s="156"/>
      <c r="F13" s="156"/>
      <c r="G13" s="157"/>
      <c r="H13" s="157">
        <f>+H14+H15</f>
        <v>0</v>
      </c>
      <c r="I13" s="157">
        <f>+I14+I15</f>
        <v>0</v>
      </c>
      <c r="J13" s="157">
        <f>+J14+J15</f>
        <v>0</v>
      </c>
      <c r="K13" s="157">
        <f>+K14+K15</f>
        <v>0</v>
      </c>
    </row>
    <row r="14" spans="1:11" s="149" customFormat="1" ht="25.5" x14ac:dyDescent="0.25">
      <c r="A14" s="158" t="s">
        <v>5</v>
      </c>
      <c r="B14" s="159" t="s">
        <v>396</v>
      </c>
      <c r="C14" s="156"/>
      <c r="D14" s="156"/>
      <c r="E14" s="156">
        <v>1</v>
      </c>
      <c r="F14" s="156"/>
      <c r="G14" s="157">
        <f>G13-G15</f>
        <v>0</v>
      </c>
      <c r="H14" s="157">
        <f>ROUND((G14*C14),0)</f>
        <v>0</v>
      </c>
      <c r="I14" s="157">
        <f>G14-H14-J14-K14</f>
        <v>0</v>
      </c>
      <c r="J14" s="157">
        <f>ROUND((G14*E14),0)</f>
        <v>0</v>
      </c>
      <c r="K14" s="157">
        <f>ROUND((G14*F14),0)</f>
        <v>0</v>
      </c>
    </row>
    <row r="15" spans="1:11" s="149" customFormat="1" ht="18" customHeight="1" x14ac:dyDescent="0.25">
      <c r="A15" s="158" t="s">
        <v>5</v>
      </c>
      <c r="B15" s="159" t="s">
        <v>397</v>
      </c>
      <c r="C15" s="156"/>
      <c r="D15" s="156"/>
      <c r="E15" s="156">
        <v>0.5</v>
      </c>
      <c r="F15" s="156">
        <v>0.5</v>
      </c>
      <c r="G15" s="157"/>
      <c r="H15" s="157">
        <f>ROUND((G15*C15),0)</f>
        <v>0</v>
      </c>
      <c r="I15" s="157">
        <f>G15-H15-J15-K15</f>
        <v>0</v>
      </c>
      <c r="J15" s="157">
        <f>ROUND((G15*E15),0)</f>
        <v>0</v>
      </c>
      <c r="K15" s="157">
        <f>ROUND((G15*F15),0)</f>
        <v>0</v>
      </c>
    </row>
    <row r="16" spans="1:11" s="149" customFormat="1" ht="18" customHeight="1" x14ac:dyDescent="0.25">
      <c r="A16" s="154" t="s">
        <v>398</v>
      </c>
      <c r="B16" s="155" t="s">
        <v>399</v>
      </c>
      <c r="C16" s="156"/>
      <c r="D16" s="156"/>
      <c r="E16" s="156"/>
      <c r="F16" s="156"/>
      <c r="G16" s="157"/>
      <c r="H16" s="157">
        <f>+H17+H18</f>
        <v>0</v>
      </c>
      <c r="I16" s="157">
        <f>+I17+I18</f>
        <v>0</v>
      </c>
      <c r="J16" s="157">
        <f>+J17+J18</f>
        <v>0</v>
      </c>
      <c r="K16" s="157">
        <f>+K17+K18</f>
        <v>0</v>
      </c>
    </row>
    <row r="17" spans="1:11" s="149" customFormat="1" ht="18" customHeight="1" x14ac:dyDescent="0.25">
      <c r="A17" s="154" t="s">
        <v>5</v>
      </c>
      <c r="B17" s="155" t="s">
        <v>400</v>
      </c>
      <c r="C17" s="156"/>
      <c r="D17" s="156"/>
      <c r="E17" s="156">
        <v>0.8</v>
      </c>
      <c r="F17" s="156">
        <v>0.2</v>
      </c>
      <c r="G17" s="157">
        <f>G16-G18</f>
        <v>0</v>
      </c>
      <c r="H17" s="157">
        <f>ROUND((G17*C17),0)</f>
        <v>0</v>
      </c>
      <c r="I17" s="157">
        <f>G17-H17-J17-K17</f>
        <v>0</v>
      </c>
      <c r="J17" s="157">
        <f>ROUND((G17*E17),0)</f>
        <v>0</v>
      </c>
      <c r="K17" s="157">
        <f>ROUND((G17*F17),0)</f>
        <v>0</v>
      </c>
    </row>
    <row r="18" spans="1:11" s="149" customFormat="1" ht="18" customHeight="1" x14ac:dyDescent="0.25">
      <c r="A18" s="154" t="s">
        <v>5</v>
      </c>
      <c r="B18" s="155" t="s">
        <v>401</v>
      </c>
      <c r="C18" s="156"/>
      <c r="D18" s="156"/>
      <c r="E18" s="156">
        <v>0.5</v>
      </c>
      <c r="F18" s="156">
        <v>0.5</v>
      </c>
      <c r="G18" s="157"/>
      <c r="H18" s="157">
        <f>ROUND((G18*C18),0)</f>
        <v>0</v>
      </c>
      <c r="I18" s="157">
        <f>G18-H18-J18-K18</f>
        <v>0</v>
      </c>
      <c r="J18" s="157">
        <f>ROUND((G18*E18),0)</f>
        <v>0</v>
      </c>
      <c r="K18" s="157">
        <f>ROUND((G18*F18),0)</f>
        <v>0</v>
      </c>
    </row>
    <row r="19" spans="1:11" s="149" customFormat="1" ht="18" customHeight="1" x14ac:dyDescent="0.25">
      <c r="A19" s="160">
        <f>+A11+1</f>
        <v>2</v>
      </c>
      <c r="B19" s="161" t="s">
        <v>6</v>
      </c>
      <c r="C19" s="162"/>
      <c r="D19" s="162"/>
      <c r="E19" s="162"/>
      <c r="F19" s="162"/>
      <c r="G19" s="163">
        <v>0</v>
      </c>
      <c r="H19" s="163">
        <f>H20+H21+H24</f>
        <v>0</v>
      </c>
      <c r="I19" s="163">
        <f>I20+I21+I24</f>
        <v>0</v>
      </c>
      <c r="J19" s="163">
        <f>J20+J21+J24</f>
        <v>0</v>
      </c>
      <c r="K19" s="163">
        <f>K20+K21+K24</f>
        <v>0</v>
      </c>
    </row>
    <row r="20" spans="1:11" s="149" customFormat="1" ht="18" customHeight="1" x14ac:dyDescent="0.25">
      <c r="A20" s="154" t="s">
        <v>402</v>
      </c>
      <c r="B20" s="155" t="s">
        <v>393</v>
      </c>
      <c r="C20" s="156"/>
      <c r="D20" s="156">
        <v>0.9</v>
      </c>
      <c r="E20" s="156">
        <v>0.1</v>
      </c>
      <c r="F20" s="156"/>
      <c r="G20" s="157">
        <f>G19-G21-G24</f>
        <v>0</v>
      </c>
      <c r="H20" s="157">
        <f>ROUND((G20*C20),0)</f>
        <v>0</v>
      </c>
      <c r="I20" s="157">
        <f>G20-H20-J20-K20</f>
        <v>0</v>
      </c>
      <c r="J20" s="157">
        <f>ROUND((G20*E20),0)</f>
        <v>0</v>
      </c>
      <c r="K20" s="157">
        <f>ROUND((G20*F20),0)</f>
        <v>0</v>
      </c>
    </row>
    <row r="21" spans="1:11" s="149" customFormat="1" ht="18" customHeight="1" x14ac:dyDescent="0.25">
      <c r="A21" s="154" t="s">
        <v>403</v>
      </c>
      <c r="B21" s="155" t="s">
        <v>395</v>
      </c>
      <c r="C21" s="156"/>
      <c r="D21" s="156"/>
      <c r="E21" s="156"/>
      <c r="F21" s="156"/>
      <c r="G21" s="157"/>
      <c r="H21" s="157">
        <f>+H22+H23</f>
        <v>0</v>
      </c>
      <c r="I21" s="157">
        <f>+I22+I23</f>
        <v>0</v>
      </c>
      <c r="J21" s="157">
        <f>+J22+J23</f>
        <v>0</v>
      </c>
      <c r="K21" s="157">
        <f>+K22+K23</f>
        <v>0</v>
      </c>
    </row>
    <row r="22" spans="1:11" s="149" customFormat="1" ht="25.5" x14ac:dyDescent="0.25">
      <c r="A22" s="158" t="s">
        <v>5</v>
      </c>
      <c r="B22" s="159" t="s">
        <v>396</v>
      </c>
      <c r="C22" s="156"/>
      <c r="D22" s="156"/>
      <c r="E22" s="156">
        <v>1</v>
      </c>
      <c r="F22" s="156"/>
      <c r="G22" s="157">
        <f>G21-G23</f>
        <v>0</v>
      </c>
      <c r="H22" s="157">
        <f>ROUND((G22*C22),0)</f>
        <v>0</v>
      </c>
      <c r="I22" s="157">
        <f>G22-H22-J22-K22</f>
        <v>0</v>
      </c>
      <c r="J22" s="157">
        <f>ROUND((G22*E22),0)</f>
        <v>0</v>
      </c>
      <c r="K22" s="157">
        <f>ROUND((G22*F22),0)</f>
        <v>0</v>
      </c>
    </row>
    <row r="23" spans="1:11" s="149" customFormat="1" ht="18" customHeight="1" x14ac:dyDescent="0.25">
      <c r="A23" s="158" t="s">
        <v>5</v>
      </c>
      <c r="B23" s="159" t="s">
        <v>397</v>
      </c>
      <c r="C23" s="156"/>
      <c r="D23" s="156"/>
      <c r="E23" s="156">
        <v>0.5</v>
      </c>
      <c r="F23" s="156">
        <v>0.5</v>
      </c>
      <c r="G23" s="157"/>
      <c r="H23" s="157">
        <f>ROUND((G23*C23),0)</f>
        <v>0</v>
      </c>
      <c r="I23" s="157">
        <f>G23-H23-J23-K23</f>
        <v>0</v>
      </c>
      <c r="J23" s="157">
        <f>ROUND((G23*E23),0)</f>
        <v>0</v>
      </c>
      <c r="K23" s="157">
        <f>ROUND((G23*F23),0)</f>
        <v>0</v>
      </c>
    </row>
    <row r="24" spans="1:11" s="149" customFormat="1" ht="18" customHeight="1" x14ac:dyDescent="0.25">
      <c r="A24" s="154" t="s">
        <v>404</v>
      </c>
      <c r="B24" s="155" t="s">
        <v>399</v>
      </c>
      <c r="C24" s="156"/>
      <c r="D24" s="156"/>
      <c r="E24" s="156"/>
      <c r="F24" s="156"/>
      <c r="G24" s="157"/>
      <c r="H24" s="157">
        <f>+H25+H26</f>
        <v>0</v>
      </c>
      <c r="I24" s="157">
        <f>+I25+I26</f>
        <v>0</v>
      </c>
      <c r="J24" s="157">
        <f>+J25+J26</f>
        <v>0</v>
      </c>
      <c r="K24" s="157">
        <f>+K25+K26</f>
        <v>0</v>
      </c>
    </row>
    <row r="25" spans="1:11" s="149" customFormat="1" ht="18" customHeight="1" x14ac:dyDescent="0.25">
      <c r="A25" s="154" t="s">
        <v>5</v>
      </c>
      <c r="B25" s="155" t="s">
        <v>400</v>
      </c>
      <c r="C25" s="156"/>
      <c r="D25" s="156"/>
      <c r="E25" s="156">
        <v>0.8</v>
      </c>
      <c r="F25" s="156">
        <v>0.2</v>
      </c>
      <c r="G25" s="157">
        <f>G24-G26</f>
        <v>0</v>
      </c>
      <c r="H25" s="157">
        <f>ROUND((G25*C25),0)</f>
        <v>0</v>
      </c>
      <c r="I25" s="157">
        <f>G25-H25-J25-K25</f>
        <v>0</v>
      </c>
      <c r="J25" s="157">
        <f>ROUND((G25*E25),0)</f>
        <v>0</v>
      </c>
      <c r="K25" s="157">
        <f>ROUND((G25*F25),0)</f>
        <v>0</v>
      </c>
    </row>
    <row r="26" spans="1:11" s="149" customFormat="1" ht="18" customHeight="1" x14ac:dyDescent="0.25">
      <c r="A26" s="154" t="s">
        <v>5</v>
      </c>
      <c r="B26" s="155" t="s">
        <v>401</v>
      </c>
      <c r="C26" s="156"/>
      <c r="D26" s="156"/>
      <c r="E26" s="156">
        <v>0.5</v>
      </c>
      <c r="F26" s="156">
        <v>0.5</v>
      </c>
      <c r="G26" s="157"/>
      <c r="H26" s="157">
        <f>ROUND((G26*C26),0)</f>
        <v>0</v>
      </c>
      <c r="I26" s="157">
        <f>G26-H26-J26-K26</f>
        <v>0</v>
      </c>
      <c r="J26" s="157">
        <f>ROUND((G26*E26),0)</f>
        <v>0</v>
      </c>
      <c r="K26" s="157">
        <f>ROUND((G26*F26),0)</f>
        <v>0</v>
      </c>
    </row>
    <row r="27" spans="1:11" s="149" customFormat="1" ht="18" customHeight="1" x14ac:dyDescent="0.25">
      <c r="A27" s="160">
        <f>+A19+1</f>
        <v>3</v>
      </c>
      <c r="B27" s="161" t="s">
        <v>7</v>
      </c>
      <c r="C27" s="162"/>
      <c r="D27" s="162"/>
      <c r="E27" s="162"/>
      <c r="F27" s="162"/>
      <c r="G27" s="163">
        <v>29000</v>
      </c>
      <c r="H27" s="163">
        <f>H28+H35+H38</f>
        <v>0</v>
      </c>
      <c r="I27" s="163">
        <f>I28+I35+I38</f>
        <v>0</v>
      </c>
      <c r="J27" s="163">
        <f>J28+J35+J38</f>
        <v>21906</v>
      </c>
      <c r="K27" s="163">
        <f>K28+K35+K38</f>
        <v>7094</v>
      </c>
    </row>
    <row r="28" spans="1:11" s="149" customFormat="1" ht="18" customHeight="1" x14ac:dyDescent="0.25">
      <c r="A28" s="154" t="s">
        <v>8</v>
      </c>
      <c r="B28" s="155" t="s">
        <v>393</v>
      </c>
      <c r="C28" s="156"/>
      <c r="D28" s="156"/>
      <c r="E28" s="156"/>
      <c r="F28" s="156"/>
      <c r="G28" s="157">
        <f>G27-G35-G38</f>
        <v>27770</v>
      </c>
      <c r="H28" s="157">
        <f>H29+H32</f>
        <v>0</v>
      </c>
      <c r="I28" s="157">
        <f>I29+I32</f>
        <v>0</v>
      </c>
      <c r="J28" s="157">
        <f>J29+J32</f>
        <v>20916</v>
      </c>
      <c r="K28" s="157">
        <f>K29+K32</f>
        <v>6854</v>
      </c>
    </row>
    <row r="29" spans="1:11" s="149" customFormat="1" ht="18" customHeight="1" x14ac:dyDescent="0.25">
      <c r="A29" s="154" t="s">
        <v>405</v>
      </c>
      <c r="B29" s="155" t="s">
        <v>406</v>
      </c>
      <c r="C29" s="156"/>
      <c r="D29" s="156"/>
      <c r="E29" s="156"/>
      <c r="F29" s="156"/>
      <c r="G29" s="157">
        <f>11170-700</f>
        <v>10470</v>
      </c>
      <c r="H29" s="157">
        <f>H30+H31</f>
        <v>0</v>
      </c>
      <c r="I29" s="157">
        <f>I30+I31</f>
        <v>0</v>
      </c>
      <c r="J29" s="157">
        <f>J30+J31</f>
        <v>8841</v>
      </c>
      <c r="K29" s="157">
        <f>K30+K31</f>
        <v>1629</v>
      </c>
    </row>
    <row r="30" spans="1:11" s="149" customFormat="1" ht="18" customHeight="1" x14ac:dyDescent="0.25">
      <c r="A30" s="154" t="s">
        <v>5</v>
      </c>
      <c r="B30" s="155" t="s">
        <v>407</v>
      </c>
      <c r="C30" s="156"/>
      <c r="D30" s="156"/>
      <c r="E30" s="156">
        <v>0.9</v>
      </c>
      <c r="F30" s="156">
        <v>0.1</v>
      </c>
      <c r="G30" s="157">
        <f>G29-G31</f>
        <v>9500</v>
      </c>
      <c r="H30" s="157">
        <f>ROUND((G30*C30),0)</f>
        <v>0</v>
      </c>
      <c r="I30" s="157">
        <f>G30-H30-J30-K30</f>
        <v>0</v>
      </c>
      <c r="J30" s="157">
        <f>ROUND((G30*E30),0)</f>
        <v>8550</v>
      </c>
      <c r="K30" s="157">
        <f>ROUND((G30*F30),0)</f>
        <v>950</v>
      </c>
    </row>
    <row r="31" spans="1:11" s="149" customFormat="1" ht="18" customHeight="1" x14ac:dyDescent="0.25">
      <c r="A31" s="154" t="s">
        <v>5</v>
      </c>
      <c r="B31" s="155" t="s">
        <v>408</v>
      </c>
      <c r="C31" s="156"/>
      <c r="D31" s="156"/>
      <c r="E31" s="156">
        <v>0.3</v>
      </c>
      <c r="F31" s="156">
        <v>0.7</v>
      </c>
      <c r="G31" s="157">
        <f>850+120</f>
        <v>970</v>
      </c>
      <c r="H31" s="157">
        <f>ROUND((G31*C31),0)</f>
        <v>0</v>
      </c>
      <c r="I31" s="157">
        <f>G31-H31-J31-K31</f>
        <v>0</v>
      </c>
      <c r="J31" s="157">
        <f>ROUND((G31*E31),0)</f>
        <v>291</v>
      </c>
      <c r="K31" s="157">
        <f>ROUND((G31*F31),0)</f>
        <v>679</v>
      </c>
    </row>
    <row r="32" spans="1:11" s="149" customFormat="1" ht="18" customHeight="1" x14ac:dyDescent="0.25">
      <c r="A32" s="154" t="s">
        <v>409</v>
      </c>
      <c r="B32" s="155" t="s">
        <v>410</v>
      </c>
      <c r="C32" s="156"/>
      <c r="D32" s="156"/>
      <c r="E32" s="156"/>
      <c r="F32" s="156"/>
      <c r="G32" s="157">
        <f>G28-G29</f>
        <v>17300</v>
      </c>
      <c r="H32" s="157">
        <f>H33+H34</f>
        <v>0</v>
      </c>
      <c r="I32" s="157">
        <f>I33+I34</f>
        <v>0</v>
      </c>
      <c r="J32" s="157">
        <f>J33+J34</f>
        <v>12075</v>
      </c>
      <c r="K32" s="157">
        <f>K33+K34</f>
        <v>5225</v>
      </c>
    </row>
    <row r="33" spans="1:11" s="149" customFormat="1" ht="18" customHeight="1" x14ac:dyDescent="0.25">
      <c r="A33" s="154" t="s">
        <v>5</v>
      </c>
      <c r="B33" s="155" t="s">
        <v>407</v>
      </c>
      <c r="C33" s="156"/>
      <c r="D33" s="156"/>
      <c r="E33" s="156">
        <v>0.8</v>
      </c>
      <c r="F33" s="156">
        <v>0.2</v>
      </c>
      <c r="G33" s="157">
        <f>G32-G34</f>
        <v>13770</v>
      </c>
      <c r="H33" s="157">
        <f>ROUND((G33*C33),0)</f>
        <v>0</v>
      </c>
      <c r="I33" s="157">
        <f>G33-H33-J33-K33</f>
        <v>0</v>
      </c>
      <c r="J33" s="157">
        <f>ROUND((G33*E33),0)</f>
        <v>11016</v>
      </c>
      <c r="K33" s="157">
        <f>ROUND((G33*F33),0)</f>
        <v>2754</v>
      </c>
    </row>
    <row r="34" spans="1:11" s="149" customFormat="1" ht="18" customHeight="1" x14ac:dyDescent="0.25">
      <c r="A34" s="154" t="s">
        <v>5</v>
      </c>
      <c r="B34" s="155" t="s">
        <v>408</v>
      </c>
      <c r="C34" s="156"/>
      <c r="D34" s="156"/>
      <c r="E34" s="156">
        <v>0.3</v>
      </c>
      <c r="F34" s="156">
        <v>0.7</v>
      </c>
      <c r="G34" s="157">
        <f>3760+740-970</f>
        <v>3530</v>
      </c>
      <c r="H34" s="157">
        <f>ROUND((G34*C34),0)</f>
        <v>0</v>
      </c>
      <c r="I34" s="157">
        <f>G34-H34-J34-K34</f>
        <v>0</v>
      </c>
      <c r="J34" s="157">
        <f>ROUND((G34*E34),0)</f>
        <v>1059</v>
      </c>
      <c r="K34" s="157">
        <f>ROUND((G34*F34),0)</f>
        <v>2471</v>
      </c>
    </row>
    <row r="35" spans="1:11" s="149" customFormat="1" ht="18" customHeight="1" x14ac:dyDescent="0.25">
      <c r="A35" s="154" t="s">
        <v>9</v>
      </c>
      <c r="B35" s="155" t="s">
        <v>395</v>
      </c>
      <c r="C35" s="156"/>
      <c r="D35" s="156"/>
      <c r="E35" s="156"/>
      <c r="F35" s="156"/>
      <c r="G35" s="157">
        <v>30</v>
      </c>
      <c r="H35" s="157">
        <f>+H36+H37</f>
        <v>0</v>
      </c>
      <c r="I35" s="157">
        <f>+I36+I37</f>
        <v>0</v>
      </c>
      <c r="J35" s="157">
        <f>+J36+J37</f>
        <v>30</v>
      </c>
      <c r="K35" s="157">
        <f>+K36+K37</f>
        <v>0</v>
      </c>
    </row>
    <row r="36" spans="1:11" s="149" customFormat="1" ht="25.5" x14ac:dyDescent="0.25">
      <c r="A36" s="158" t="s">
        <v>5</v>
      </c>
      <c r="B36" s="159" t="s">
        <v>396</v>
      </c>
      <c r="C36" s="156"/>
      <c r="D36" s="156"/>
      <c r="E36" s="156">
        <v>1</v>
      </c>
      <c r="F36" s="156"/>
      <c r="G36" s="157">
        <f>G35-G37</f>
        <v>30</v>
      </c>
      <c r="H36" s="157">
        <f>ROUND((G36*C36),0)</f>
        <v>0</v>
      </c>
      <c r="I36" s="157">
        <f>G36-H36-J36-K36</f>
        <v>0</v>
      </c>
      <c r="J36" s="157">
        <f>ROUND((G36*E36),0)</f>
        <v>30</v>
      </c>
      <c r="K36" s="157">
        <f>ROUND((G36*F36),0)</f>
        <v>0</v>
      </c>
    </row>
    <row r="37" spans="1:11" s="149" customFormat="1" ht="18" customHeight="1" x14ac:dyDescent="0.25">
      <c r="A37" s="158" t="s">
        <v>5</v>
      </c>
      <c r="B37" s="159" t="s">
        <v>397</v>
      </c>
      <c r="C37" s="156"/>
      <c r="D37" s="156"/>
      <c r="E37" s="156">
        <v>0.5</v>
      </c>
      <c r="F37" s="156">
        <v>0.5</v>
      </c>
      <c r="G37" s="157"/>
      <c r="H37" s="157">
        <f>ROUND((G37*C37),0)</f>
        <v>0</v>
      </c>
      <c r="I37" s="157">
        <f>G37-H37-J37-K37</f>
        <v>0</v>
      </c>
      <c r="J37" s="157">
        <f>ROUND((G37*E37),0)</f>
        <v>0</v>
      </c>
      <c r="K37" s="157">
        <f>ROUND((G37*F37),0)</f>
        <v>0</v>
      </c>
    </row>
    <row r="38" spans="1:11" s="149" customFormat="1" ht="18" customHeight="1" x14ac:dyDescent="0.25">
      <c r="A38" s="154" t="s">
        <v>10</v>
      </c>
      <c r="B38" s="155" t="s">
        <v>399</v>
      </c>
      <c r="C38" s="156"/>
      <c r="D38" s="156"/>
      <c r="E38" s="156"/>
      <c r="F38" s="156"/>
      <c r="G38" s="157">
        <v>1200</v>
      </c>
      <c r="H38" s="157">
        <f>+H39+H40</f>
        <v>0</v>
      </c>
      <c r="I38" s="157">
        <f>+I39+I40</f>
        <v>0</v>
      </c>
      <c r="J38" s="157">
        <f>+J39+J40</f>
        <v>960</v>
      </c>
      <c r="K38" s="157">
        <f>+K39+K40</f>
        <v>240</v>
      </c>
    </row>
    <row r="39" spans="1:11" s="149" customFormat="1" ht="18" customHeight="1" x14ac:dyDescent="0.25">
      <c r="A39" s="154" t="s">
        <v>5</v>
      </c>
      <c r="B39" s="155" t="s">
        <v>400</v>
      </c>
      <c r="C39" s="156"/>
      <c r="D39" s="156"/>
      <c r="E39" s="156">
        <v>0.8</v>
      </c>
      <c r="F39" s="156">
        <v>0.2</v>
      </c>
      <c r="G39" s="157">
        <f>G38-G40</f>
        <v>1200</v>
      </c>
      <c r="H39" s="157">
        <f>ROUND((G39*C39),0)</f>
        <v>0</v>
      </c>
      <c r="I39" s="157">
        <f>G39-H39-J39-K39</f>
        <v>0</v>
      </c>
      <c r="J39" s="157">
        <f>ROUND((G39*E39),0)</f>
        <v>960</v>
      </c>
      <c r="K39" s="157">
        <f>ROUND((G39*F39),0)</f>
        <v>240</v>
      </c>
    </row>
    <row r="40" spans="1:11" s="149" customFormat="1" ht="18" customHeight="1" x14ac:dyDescent="0.25">
      <c r="A40" s="154" t="s">
        <v>5</v>
      </c>
      <c r="B40" s="155" t="s">
        <v>401</v>
      </c>
      <c r="C40" s="156"/>
      <c r="D40" s="156"/>
      <c r="E40" s="156">
        <v>0.5</v>
      </c>
      <c r="F40" s="156">
        <v>0.5</v>
      </c>
      <c r="G40" s="163"/>
      <c r="H40" s="157">
        <f>ROUND((G40*C40),0)</f>
        <v>0</v>
      </c>
      <c r="I40" s="157">
        <f>G40-H40-J40-K40</f>
        <v>0</v>
      </c>
      <c r="J40" s="157">
        <f>ROUND((G40*E40),0)</f>
        <v>0</v>
      </c>
      <c r="K40" s="157">
        <f>ROUND((G40*F40),0)</f>
        <v>0</v>
      </c>
    </row>
    <row r="41" spans="1:11" s="149" customFormat="1" ht="18" customHeight="1" x14ac:dyDescent="0.25">
      <c r="A41" s="160">
        <f>+A27+1</f>
        <v>4</v>
      </c>
      <c r="B41" s="161" t="s">
        <v>11</v>
      </c>
      <c r="C41" s="162"/>
      <c r="D41" s="162">
        <v>0.5</v>
      </c>
      <c r="E41" s="162">
        <v>0.5</v>
      </c>
      <c r="F41" s="162"/>
      <c r="G41" s="163">
        <v>17000</v>
      </c>
      <c r="H41" s="163">
        <f>ROUND((G41*C41),0)</f>
        <v>0</v>
      </c>
      <c r="I41" s="163">
        <f>G41-H41-J41-K41</f>
        <v>8500</v>
      </c>
      <c r="J41" s="163">
        <f>ROUND((G41*E41),0)</f>
        <v>8500</v>
      </c>
      <c r="K41" s="163">
        <f>ROUND((G41*F41),0)</f>
        <v>0</v>
      </c>
    </row>
    <row r="42" spans="1:11" s="149" customFormat="1" ht="18" customHeight="1" x14ac:dyDescent="0.25">
      <c r="A42" s="160">
        <f>+A41+1</f>
        <v>5</v>
      </c>
      <c r="B42" s="161" t="s">
        <v>411</v>
      </c>
      <c r="C42" s="162"/>
      <c r="D42" s="162"/>
      <c r="E42" s="162">
        <v>0.7</v>
      </c>
      <c r="F42" s="162">
        <v>0.3</v>
      </c>
      <c r="G42" s="163"/>
      <c r="H42" s="163">
        <f>ROUND((G42*C42),0)</f>
        <v>0</v>
      </c>
      <c r="I42" s="163">
        <f>G42-H42-J42-K42</f>
        <v>0</v>
      </c>
      <c r="J42" s="163">
        <f>ROUND((G42*E42),0)</f>
        <v>0</v>
      </c>
      <c r="K42" s="163">
        <f>ROUND((G42*F42),0)</f>
        <v>0</v>
      </c>
    </row>
    <row r="43" spans="1:11" s="149" customFormat="1" ht="18" customHeight="1" x14ac:dyDescent="0.25">
      <c r="A43" s="160">
        <f>+A42+1</f>
        <v>6</v>
      </c>
      <c r="B43" s="161" t="s">
        <v>12</v>
      </c>
      <c r="C43" s="162"/>
      <c r="D43" s="162"/>
      <c r="E43" s="162"/>
      <c r="F43" s="162"/>
      <c r="G43" s="163">
        <v>45000</v>
      </c>
      <c r="H43" s="163">
        <f>H44+H45</f>
        <v>0</v>
      </c>
      <c r="I43" s="163">
        <f>I44+I45</f>
        <v>7800</v>
      </c>
      <c r="J43" s="163">
        <f>J44+J45</f>
        <v>32400</v>
      </c>
      <c r="K43" s="163">
        <f>K44+K45</f>
        <v>4800</v>
      </c>
    </row>
    <row r="44" spans="1:11" s="149" customFormat="1" ht="18" customHeight="1" x14ac:dyDescent="0.25">
      <c r="A44" s="154" t="s">
        <v>5</v>
      </c>
      <c r="B44" s="155" t="s">
        <v>412</v>
      </c>
      <c r="C44" s="156"/>
      <c r="D44" s="156"/>
      <c r="E44" s="156">
        <v>0.2</v>
      </c>
      <c r="F44" s="156">
        <v>0.8</v>
      </c>
      <c r="G44" s="157">
        <v>6000</v>
      </c>
      <c r="H44" s="157">
        <f>ROUND((G44*C44),0)</f>
        <v>0</v>
      </c>
      <c r="I44" s="157">
        <f>G44-H44-J44-K44</f>
        <v>0</v>
      </c>
      <c r="J44" s="157">
        <f>ROUND((G44*E44),0)</f>
        <v>1200</v>
      </c>
      <c r="K44" s="157">
        <f>ROUND((G44*F44),0)</f>
        <v>4800</v>
      </c>
    </row>
    <row r="45" spans="1:11" s="149" customFormat="1" ht="18" customHeight="1" x14ac:dyDescent="0.25">
      <c r="A45" s="154" t="s">
        <v>5</v>
      </c>
      <c r="B45" s="155" t="s">
        <v>413</v>
      </c>
      <c r="C45" s="156"/>
      <c r="D45" s="156">
        <v>0.2</v>
      </c>
      <c r="E45" s="156">
        <v>0.8</v>
      </c>
      <c r="F45" s="156"/>
      <c r="G45" s="157">
        <f>G43-G44</f>
        <v>39000</v>
      </c>
      <c r="H45" s="157">
        <f>ROUND((G45*C45),0)</f>
        <v>0</v>
      </c>
      <c r="I45" s="157">
        <f>G45-H45-J45-K45</f>
        <v>7800</v>
      </c>
      <c r="J45" s="157">
        <f>ROUND((G45*E45),0)</f>
        <v>31200</v>
      </c>
      <c r="K45" s="157">
        <f>ROUND((G45*F45),0)</f>
        <v>0</v>
      </c>
    </row>
    <row r="46" spans="1:11" s="149" customFormat="1" ht="18" customHeight="1" x14ac:dyDescent="0.25">
      <c r="A46" s="160">
        <f>+A43+1</f>
        <v>7</v>
      </c>
      <c r="B46" s="161" t="s">
        <v>13</v>
      </c>
      <c r="C46" s="162"/>
      <c r="D46" s="162"/>
      <c r="E46" s="162"/>
      <c r="F46" s="162"/>
      <c r="G46" s="163">
        <v>2850</v>
      </c>
      <c r="H46" s="163">
        <f>H47+H52</f>
        <v>0</v>
      </c>
      <c r="I46" s="163">
        <f>I47+I52</f>
        <v>0</v>
      </c>
      <c r="J46" s="163">
        <f>J47+J52</f>
        <v>1403</v>
      </c>
      <c r="K46" s="163">
        <f>K47+K52</f>
        <v>1447</v>
      </c>
    </row>
    <row r="47" spans="1:11" s="149" customFormat="1" ht="18" customHeight="1" x14ac:dyDescent="0.25">
      <c r="A47" s="164" t="s">
        <v>317</v>
      </c>
      <c r="B47" s="165" t="s">
        <v>414</v>
      </c>
      <c r="C47" s="162"/>
      <c r="D47" s="162"/>
      <c r="E47" s="162"/>
      <c r="F47" s="162"/>
      <c r="G47" s="163">
        <v>811</v>
      </c>
      <c r="H47" s="163">
        <f>H48+H49</f>
        <v>0</v>
      </c>
      <c r="I47" s="163">
        <f>I48+I49</f>
        <v>0</v>
      </c>
      <c r="J47" s="163">
        <f>J48+J49</f>
        <v>550</v>
      </c>
      <c r="K47" s="163">
        <f>K48+K49</f>
        <v>261</v>
      </c>
    </row>
    <row r="48" spans="1:11" s="149" customFormat="1" ht="18" customHeight="1" x14ac:dyDescent="0.25">
      <c r="A48" s="166" t="s">
        <v>405</v>
      </c>
      <c r="B48" s="167" t="s">
        <v>407</v>
      </c>
      <c r="C48" s="156"/>
      <c r="D48" s="156"/>
      <c r="E48" s="156">
        <v>1</v>
      </c>
      <c r="F48" s="156"/>
      <c r="G48" s="157">
        <f>G47-G49</f>
        <v>550</v>
      </c>
      <c r="H48" s="157">
        <f>ROUND((G48*C48),0)</f>
        <v>0</v>
      </c>
      <c r="I48" s="157">
        <f>G48-H48-J48-K48</f>
        <v>0</v>
      </c>
      <c r="J48" s="157">
        <f>ROUND((G48*E48),0)</f>
        <v>550</v>
      </c>
      <c r="K48" s="157">
        <f>ROUND((G48*F48),0)</f>
        <v>0</v>
      </c>
    </row>
    <row r="49" spans="1:11" s="149" customFormat="1" ht="18" customHeight="1" x14ac:dyDescent="0.25">
      <c r="A49" s="166" t="s">
        <v>409</v>
      </c>
      <c r="B49" s="167" t="s">
        <v>415</v>
      </c>
      <c r="C49" s="156"/>
      <c r="D49" s="156"/>
      <c r="E49" s="156"/>
      <c r="F49" s="156"/>
      <c r="G49" s="157">
        <v>261</v>
      </c>
      <c r="H49" s="157">
        <f>+H50+H51</f>
        <v>0</v>
      </c>
      <c r="I49" s="157">
        <f>+I50+I51</f>
        <v>0</v>
      </c>
      <c r="J49" s="157">
        <f>+J50+J51</f>
        <v>0</v>
      </c>
      <c r="K49" s="157">
        <f>+K50+K51</f>
        <v>261</v>
      </c>
    </row>
    <row r="50" spans="1:11" s="149" customFormat="1" ht="18" customHeight="1" x14ac:dyDescent="0.25">
      <c r="A50" s="154" t="s">
        <v>5</v>
      </c>
      <c r="B50" s="167" t="s">
        <v>416</v>
      </c>
      <c r="C50" s="156"/>
      <c r="D50" s="156"/>
      <c r="E50" s="156">
        <v>0.6</v>
      </c>
      <c r="F50" s="156">
        <v>0.4</v>
      </c>
      <c r="G50" s="157"/>
      <c r="H50" s="157">
        <f>ROUND((G50*C50),0)</f>
        <v>0</v>
      </c>
      <c r="I50" s="157">
        <f>G50-H50-J50-K50</f>
        <v>0</v>
      </c>
      <c r="J50" s="157">
        <f>ROUND((G50*E50),0)</f>
        <v>0</v>
      </c>
      <c r="K50" s="157">
        <f>ROUND((G50*F50),0)</f>
        <v>0</v>
      </c>
    </row>
    <row r="51" spans="1:11" s="149" customFormat="1" ht="18" customHeight="1" x14ac:dyDescent="0.25">
      <c r="A51" s="154" t="s">
        <v>5</v>
      </c>
      <c r="B51" s="167" t="s">
        <v>417</v>
      </c>
      <c r="C51" s="156"/>
      <c r="D51" s="156"/>
      <c r="E51" s="156"/>
      <c r="F51" s="156">
        <v>1</v>
      </c>
      <c r="G51" s="157">
        <f>G49-G50</f>
        <v>261</v>
      </c>
      <c r="H51" s="157">
        <f>ROUND((G51*C51),0)</f>
        <v>0</v>
      </c>
      <c r="I51" s="157">
        <f>G51-H51-J51-K51</f>
        <v>0</v>
      </c>
      <c r="J51" s="157">
        <f>ROUND((G51*E51),0)</f>
        <v>0</v>
      </c>
      <c r="K51" s="157">
        <f>ROUND((G51*F51),0)</f>
        <v>261</v>
      </c>
    </row>
    <row r="52" spans="1:11" s="149" customFormat="1" ht="18" customHeight="1" x14ac:dyDescent="0.25">
      <c r="A52" s="164" t="s">
        <v>319</v>
      </c>
      <c r="B52" s="161" t="s">
        <v>418</v>
      </c>
      <c r="C52" s="162"/>
      <c r="D52" s="162"/>
      <c r="E52" s="162"/>
      <c r="F52" s="162"/>
      <c r="G52" s="163">
        <f>G46-G47</f>
        <v>2039</v>
      </c>
      <c r="H52" s="163">
        <f>H53+H54</f>
        <v>0</v>
      </c>
      <c r="I52" s="163">
        <f>I53+I54</f>
        <v>0</v>
      </c>
      <c r="J52" s="163">
        <f>J53+J54</f>
        <v>853</v>
      </c>
      <c r="K52" s="163">
        <f>K53+K54</f>
        <v>1186</v>
      </c>
    </row>
    <row r="53" spans="1:11" s="149" customFormat="1" ht="18" customHeight="1" x14ac:dyDescent="0.25">
      <c r="A53" s="154" t="s">
        <v>5</v>
      </c>
      <c r="B53" s="155" t="s">
        <v>419</v>
      </c>
      <c r="C53" s="156"/>
      <c r="D53" s="156"/>
      <c r="E53" s="156">
        <v>1</v>
      </c>
      <c r="F53" s="156"/>
      <c r="G53" s="157">
        <f>+G52-G54</f>
        <v>853</v>
      </c>
      <c r="H53" s="157">
        <f>ROUND((G53*C53),0)</f>
        <v>0</v>
      </c>
      <c r="I53" s="157">
        <f>G53-H53-J53-K53</f>
        <v>0</v>
      </c>
      <c r="J53" s="157">
        <f>ROUND((G53*E53),0)</f>
        <v>853</v>
      </c>
      <c r="K53" s="157">
        <f>ROUND((G53*F53),0)</f>
        <v>0</v>
      </c>
    </row>
    <row r="54" spans="1:11" s="149" customFormat="1" ht="18" customHeight="1" x14ac:dyDescent="0.25">
      <c r="A54" s="154" t="s">
        <v>5</v>
      </c>
      <c r="B54" s="155" t="s">
        <v>420</v>
      </c>
      <c r="C54" s="156"/>
      <c r="D54" s="156"/>
      <c r="E54" s="156"/>
      <c r="F54" s="156">
        <v>1</v>
      </c>
      <c r="G54" s="157">
        <v>1186</v>
      </c>
      <c r="H54" s="157">
        <f>ROUND((G54*C54),0)</f>
        <v>0</v>
      </c>
      <c r="I54" s="157">
        <f>G54-H54-J54-K54</f>
        <v>0</v>
      </c>
      <c r="J54" s="157">
        <f>ROUND((G54*E54),0)</f>
        <v>0</v>
      </c>
      <c r="K54" s="157">
        <f>ROUND((G54*F54),0)</f>
        <v>1186</v>
      </c>
    </row>
    <row r="55" spans="1:11" s="149" customFormat="1" ht="18" customHeight="1" x14ac:dyDescent="0.25">
      <c r="A55" s="160">
        <f>+A46+1</f>
        <v>8</v>
      </c>
      <c r="B55" s="161" t="s">
        <v>14</v>
      </c>
      <c r="C55" s="162"/>
      <c r="D55" s="162"/>
      <c r="E55" s="162"/>
      <c r="F55" s="162">
        <v>1</v>
      </c>
      <c r="G55" s="163">
        <v>830</v>
      </c>
      <c r="H55" s="163">
        <f>ROUND((G55*C55),0)</f>
        <v>0</v>
      </c>
      <c r="I55" s="163">
        <f>G55-H55-J55-K55</f>
        <v>0</v>
      </c>
      <c r="J55" s="163">
        <f>ROUND((G55*E55),0)</f>
        <v>0</v>
      </c>
      <c r="K55" s="163">
        <f>ROUND((G55*F55),0)</f>
        <v>830</v>
      </c>
    </row>
    <row r="56" spans="1:11" s="149" customFormat="1" ht="18" customHeight="1" x14ac:dyDescent="0.25">
      <c r="A56" s="160">
        <f>+A55+1</f>
        <v>9</v>
      </c>
      <c r="B56" s="161" t="s">
        <v>15</v>
      </c>
      <c r="C56" s="162"/>
      <c r="D56" s="162"/>
      <c r="E56" s="162"/>
      <c r="F56" s="162"/>
      <c r="G56" s="163">
        <v>5800</v>
      </c>
      <c r="H56" s="163">
        <f>H57+H58</f>
        <v>0</v>
      </c>
      <c r="I56" s="163">
        <f>I57+I58</f>
        <v>3418</v>
      </c>
      <c r="J56" s="163">
        <f>J57+J58</f>
        <v>1740</v>
      </c>
      <c r="K56" s="163">
        <f>K57+K58</f>
        <v>642</v>
      </c>
    </row>
    <row r="57" spans="1:11" s="149" customFormat="1" ht="18" customHeight="1" x14ac:dyDescent="0.25">
      <c r="A57" s="166" t="s">
        <v>5</v>
      </c>
      <c r="B57" s="167" t="s">
        <v>421</v>
      </c>
      <c r="C57" s="156"/>
      <c r="D57" s="156">
        <v>0.4</v>
      </c>
      <c r="E57" s="156">
        <v>0.3</v>
      </c>
      <c r="F57" s="156">
        <v>0.3</v>
      </c>
      <c r="G57" s="157">
        <v>2140</v>
      </c>
      <c r="H57" s="157">
        <f>ROUND((G57*C57),0)</f>
        <v>0</v>
      </c>
      <c r="I57" s="157">
        <f>G57-H57-J57-K57</f>
        <v>856</v>
      </c>
      <c r="J57" s="157">
        <f>ROUND((G57*E57),0)</f>
        <v>642</v>
      </c>
      <c r="K57" s="157">
        <f>ROUND((G57*F57),0)</f>
        <v>642</v>
      </c>
    </row>
    <row r="58" spans="1:11" s="149" customFormat="1" ht="18" customHeight="1" x14ac:dyDescent="0.25">
      <c r="A58" s="166" t="s">
        <v>5</v>
      </c>
      <c r="B58" s="167" t="s">
        <v>422</v>
      </c>
      <c r="C58" s="156"/>
      <c r="D58" s="156">
        <v>0.7</v>
      </c>
      <c r="E58" s="156">
        <v>0.3</v>
      </c>
      <c r="F58" s="156"/>
      <c r="G58" s="157">
        <f>G56-G57</f>
        <v>3660</v>
      </c>
      <c r="H58" s="157">
        <f>ROUND((G58*C58),0)</f>
        <v>0</v>
      </c>
      <c r="I58" s="157">
        <f>G58-H58-J58-K58</f>
        <v>2562</v>
      </c>
      <c r="J58" s="157">
        <f>ROUND((G58*E58),0)</f>
        <v>1098</v>
      </c>
      <c r="K58" s="157">
        <f>ROUND((G58*F58),0)</f>
        <v>0</v>
      </c>
    </row>
    <row r="59" spans="1:11" s="149" customFormat="1" ht="18" customHeight="1" x14ac:dyDescent="0.25">
      <c r="A59" s="160">
        <f>+A56+1</f>
        <v>10</v>
      </c>
      <c r="B59" s="161" t="s">
        <v>16</v>
      </c>
      <c r="C59" s="162"/>
      <c r="D59" s="162"/>
      <c r="E59" s="162"/>
      <c r="F59" s="162"/>
      <c r="G59" s="163">
        <v>1000</v>
      </c>
      <c r="H59" s="163">
        <f>H60+H61</f>
        <v>0</v>
      </c>
      <c r="I59" s="163">
        <f>I60+I61</f>
        <v>300</v>
      </c>
      <c r="J59" s="163">
        <f>J60+J61</f>
        <v>400</v>
      </c>
      <c r="K59" s="163">
        <f>K60+K61</f>
        <v>300</v>
      </c>
    </row>
    <row r="60" spans="1:11" s="149" customFormat="1" ht="18" customHeight="1" x14ac:dyDescent="0.25">
      <c r="A60" s="166" t="s">
        <v>5</v>
      </c>
      <c r="B60" s="167" t="s">
        <v>423</v>
      </c>
      <c r="C60" s="156">
        <v>0.7</v>
      </c>
      <c r="D60" s="156">
        <v>0.09</v>
      </c>
      <c r="E60" s="156">
        <v>0.09</v>
      </c>
      <c r="F60" s="156">
        <v>0.12</v>
      </c>
      <c r="G60" s="157"/>
      <c r="H60" s="157">
        <f>ROUND((G60*C60),0)</f>
        <v>0</v>
      </c>
      <c r="I60" s="157">
        <f>G60-H60-J60-K60</f>
        <v>0</v>
      </c>
      <c r="J60" s="157">
        <f>ROUND((G60*E60),0)</f>
        <v>0</v>
      </c>
      <c r="K60" s="157">
        <f>ROUND((G60*F60),0)</f>
        <v>0</v>
      </c>
    </row>
    <row r="61" spans="1:11" s="149" customFormat="1" ht="18" customHeight="1" x14ac:dyDescent="0.25">
      <c r="A61" s="166" t="s">
        <v>5</v>
      </c>
      <c r="B61" s="167" t="s">
        <v>424</v>
      </c>
      <c r="C61" s="156"/>
      <c r="D61" s="156">
        <v>0.3</v>
      </c>
      <c r="E61" s="156">
        <v>0.4</v>
      </c>
      <c r="F61" s="156">
        <v>0.3</v>
      </c>
      <c r="G61" s="157">
        <f>G59-G60</f>
        <v>1000</v>
      </c>
      <c r="H61" s="157">
        <f>ROUND((G61*C61),0)</f>
        <v>0</v>
      </c>
      <c r="I61" s="157">
        <f>G61-H61-J61-K61</f>
        <v>300</v>
      </c>
      <c r="J61" s="157">
        <f>ROUND((G61*E61),0)</f>
        <v>400</v>
      </c>
      <c r="K61" s="157">
        <f>ROUND((G61*F61),0)</f>
        <v>300</v>
      </c>
    </row>
    <row r="62" spans="1:11" s="149" customFormat="1" ht="18" customHeight="1" x14ac:dyDescent="0.25">
      <c r="A62" s="160">
        <f>+A59+1</f>
        <v>11</v>
      </c>
      <c r="B62" s="161" t="s">
        <v>17</v>
      </c>
      <c r="C62" s="162"/>
      <c r="D62" s="162"/>
      <c r="E62" s="162"/>
      <c r="F62" s="162"/>
      <c r="G62" s="163">
        <v>268000</v>
      </c>
      <c r="H62" s="163">
        <f>H63+H72+H90+H91+H95+H96</f>
        <v>0</v>
      </c>
      <c r="I62" s="163">
        <f>I63+I72+I90+I91+I95+I96</f>
        <v>89200</v>
      </c>
      <c r="J62" s="163">
        <f>J63+J72+J90+J91+J95+J96</f>
        <v>117400</v>
      </c>
      <c r="K62" s="163">
        <f>K63+K72+K90+K91+K95+K96</f>
        <v>61400</v>
      </c>
    </row>
    <row r="63" spans="1:11" s="149" customFormat="1" ht="18" customHeight="1" x14ac:dyDescent="0.25">
      <c r="A63" s="168" t="s">
        <v>425</v>
      </c>
      <c r="B63" s="169" t="s">
        <v>426</v>
      </c>
      <c r="C63" s="162"/>
      <c r="D63" s="162"/>
      <c r="E63" s="162"/>
      <c r="F63" s="162"/>
      <c r="G63" s="163"/>
      <c r="H63" s="163">
        <f>H64+H67</f>
        <v>0</v>
      </c>
      <c r="I63" s="163">
        <f>I64+I67</f>
        <v>0</v>
      </c>
      <c r="J63" s="163">
        <f>J64+J67</f>
        <v>0</v>
      </c>
      <c r="K63" s="163">
        <f>K64+K67</f>
        <v>0</v>
      </c>
    </row>
    <row r="64" spans="1:11" s="171" customFormat="1" ht="38.25" x14ac:dyDescent="0.25">
      <c r="A64" s="170">
        <v>1</v>
      </c>
      <c r="B64" s="161" t="s">
        <v>427</v>
      </c>
      <c r="C64" s="162"/>
      <c r="D64" s="162"/>
      <c r="E64" s="162"/>
      <c r="F64" s="162"/>
      <c r="G64" s="163"/>
      <c r="H64" s="163">
        <f>+H65+H66</f>
        <v>0</v>
      </c>
      <c r="I64" s="163">
        <f>+I65+I66</f>
        <v>0</v>
      </c>
      <c r="J64" s="163">
        <f>+J65+J66</f>
        <v>0</v>
      </c>
      <c r="K64" s="163">
        <f>+K65+K66</f>
        <v>0</v>
      </c>
    </row>
    <row r="65" spans="1:11" s="149" customFormat="1" ht="18" customHeight="1" x14ac:dyDescent="0.25">
      <c r="A65" s="160" t="s">
        <v>405</v>
      </c>
      <c r="B65" s="161" t="s">
        <v>428</v>
      </c>
      <c r="C65" s="162"/>
      <c r="D65" s="162">
        <v>1</v>
      </c>
      <c r="E65" s="162"/>
      <c r="F65" s="162"/>
      <c r="G65" s="163">
        <f>ROUND((G64*55%),0)</f>
        <v>0</v>
      </c>
      <c r="H65" s="163">
        <f>ROUND((G65*C65),0)</f>
        <v>0</v>
      </c>
      <c r="I65" s="163">
        <f>G65-H65-J65-K65</f>
        <v>0</v>
      </c>
      <c r="J65" s="163">
        <f>ROUND((G65*E65),0)</f>
        <v>0</v>
      </c>
      <c r="K65" s="163">
        <f>ROUND((G65*F65),0)</f>
        <v>0</v>
      </c>
    </row>
    <row r="66" spans="1:11" s="149" customFormat="1" ht="18" customHeight="1" x14ac:dyDescent="0.25">
      <c r="A66" s="160" t="s">
        <v>409</v>
      </c>
      <c r="B66" s="161" t="s">
        <v>429</v>
      </c>
      <c r="C66" s="162"/>
      <c r="D66" s="156">
        <v>1</v>
      </c>
      <c r="E66" s="162"/>
      <c r="F66" s="162"/>
      <c r="G66" s="163">
        <f>G64-G65</f>
        <v>0</v>
      </c>
      <c r="H66" s="157">
        <f>ROUND((G66*C66),0)</f>
        <v>0</v>
      </c>
      <c r="I66" s="157">
        <f>G66-H66-J66-K66</f>
        <v>0</v>
      </c>
      <c r="J66" s="157">
        <f>ROUND((G66*E66),0)</f>
        <v>0</v>
      </c>
      <c r="K66" s="157">
        <f>ROUND((G66*F66),0)</f>
        <v>0</v>
      </c>
    </row>
    <row r="67" spans="1:11" s="149" customFormat="1" ht="18" customHeight="1" x14ac:dyDescent="0.25">
      <c r="A67" s="170">
        <v>2</v>
      </c>
      <c r="B67" s="161" t="s">
        <v>430</v>
      </c>
      <c r="C67" s="162"/>
      <c r="D67" s="162"/>
      <c r="E67" s="162"/>
      <c r="F67" s="162"/>
      <c r="G67" s="163">
        <f>G63-G64</f>
        <v>0</v>
      </c>
      <c r="H67" s="163">
        <f>H68+H69</f>
        <v>0</v>
      </c>
      <c r="I67" s="163">
        <f>I68+I69</f>
        <v>0</v>
      </c>
      <c r="J67" s="163">
        <f>J68+J69</f>
        <v>0</v>
      </c>
      <c r="K67" s="163">
        <f>K68+K69</f>
        <v>0</v>
      </c>
    </row>
    <row r="68" spans="1:11" s="149" customFormat="1" ht="18" customHeight="1" x14ac:dyDescent="0.25">
      <c r="A68" s="160" t="s">
        <v>405</v>
      </c>
      <c r="B68" s="161" t="s">
        <v>428</v>
      </c>
      <c r="C68" s="162"/>
      <c r="D68" s="162"/>
      <c r="E68" s="162">
        <v>1</v>
      </c>
      <c r="F68" s="162"/>
      <c r="G68" s="163">
        <f>ROUND((G67*55%),0)</f>
        <v>0</v>
      </c>
      <c r="H68" s="163">
        <f>ROUND((G68*C68),0)</f>
        <v>0</v>
      </c>
      <c r="I68" s="163">
        <f>G68-H68-J68-K68</f>
        <v>0</v>
      </c>
      <c r="J68" s="163">
        <f>ROUND((G68*E68),0)</f>
        <v>0</v>
      </c>
      <c r="K68" s="163">
        <f>ROUND((G68*F68),0)</f>
        <v>0</v>
      </c>
    </row>
    <row r="69" spans="1:11" s="149" customFormat="1" ht="18" customHeight="1" x14ac:dyDescent="0.25">
      <c r="A69" s="160" t="s">
        <v>409</v>
      </c>
      <c r="B69" s="161" t="s">
        <v>429</v>
      </c>
      <c r="C69" s="162"/>
      <c r="D69" s="162"/>
      <c r="E69" s="162"/>
      <c r="F69" s="162"/>
      <c r="G69" s="163">
        <f>G67-G68</f>
        <v>0</v>
      </c>
      <c r="H69" s="163">
        <f>H70+H71</f>
        <v>0</v>
      </c>
      <c r="I69" s="163">
        <f>I70+I71</f>
        <v>0</v>
      </c>
      <c r="J69" s="163">
        <f>J70+J71</f>
        <v>0</v>
      </c>
      <c r="K69" s="163">
        <f>K70+K71</f>
        <v>0</v>
      </c>
    </row>
    <row r="70" spans="1:11" s="149" customFormat="1" ht="18" customHeight="1" x14ac:dyDescent="0.25">
      <c r="A70" s="166" t="s">
        <v>19</v>
      </c>
      <c r="B70" s="167" t="s">
        <v>431</v>
      </c>
      <c r="C70" s="156"/>
      <c r="D70" s="156">
        <v>0.3</v>
      </c>
      <c r="E70" s="156">
        <v>0.6</v>
      </c>
      <c r="F70" s="156">
        <v>0.1</v>
      </c>
      <c r="G70" s="157"/>
      <c r="H70" s="157">
        <f>ROUND((G70*C70),0)</f>
        <v>0</v>
      </c>
      <c r="I70" s="157">
        <f>G70-H70-J70-K70</f>
        <v>0</v>
      </c>
      <c r="J70" s="157">
        <f>ROUND((G70*E70),0)</f>
        <v>0</v>
      </c>
      <c r="K70" s="157">
        <f>ROUND((G70*F70),0)</f>
        <v>0</v>
      </c>
    </row>
    <row r="71" spans="1:11" s="149" customFormat="1" ht="18" customHeight="1" x14ac:dyDescent="0.25">
      <c r="A71" s="166" t="s">
        <v>19</v>
      </c>
      <c r="B71" s="167" t="s">
        <v>432</v>
      </c>
      <c r="C71" s="156"/>
      <c r="D71" s="156">
        <v>0.45</v>
      </c>
      <c r="E71" s="156">
        <v>0.45</v>
      </c>
      <c r="F71" s="156">
        <v>0.1</v>
      </c>
      <c r="G71" s="157"/>
      <c r="H71" s="157">
        <f>ROUND((G71*C71),0)</f>
        <v>0</v>
      </c>
      <c r="I71" s="157">
        <f>G71-H71-J71-K71</f>
        <v>0</v>
      </c>
      <c r="J71" s="157">
        <f>ROUND((G71*E71),0)</f>
        <v>0</v>
      </c>
      <c r="K71" s="157">
        <f>ROUND((G71*F71),0)</f>
        <v>0</v>
      </c>
    </row>
    <row r="72" spans="1:11" s="149" customFormat="1" ht="18" customHeight="1" x14ac:dyDescent="0.25">
      <c r="A72" s="168" t="s">
        <v>433</v>
      </c>
      <c r="B72" s="169" t="s">
        <v>434</v>
      </c>
      <c r="C72" s="162"/>
      <c r="D72" s="162"/>
      <c r="E72" s="162"/>
      <c r="F72" s="162"/>
      <c r="G72" s="163"/>
      <c r="H72" s="163">
        <f>H73+H78+H89</f>
        <v>0</v>
      </c>
      <c r="I72" s="163">
        <f>I73+I78+I89</f>
        <v>0</v>
      </c>
      <c r="J72" s="163">
        <f>J73+J78+J89</f>
        <v>0</v>
      </c>
      <c r="K72" s="163">
        <f>K73+K78+K89</f>
        <v>0</v>
      </c>
    </row>
    <row r="73" spans="1:11" s="149" customFormat="1" ht="18" customHeight="1" x14ac:dyDescent="0.25">
      <c r="A73" s="170">
        <v>1</v>
      </c>
      <c r="B73" s="169" t="s">
        <v>435</v>
      </c>
      <c r="C73" s="162"/>
      <c r="D73" s="162"/>
      <c r="E73" s="162"/>
      <c r="F73" s="162"/>
      <c r="G73" s="163"/>
      <c r="H73" s="163">
        <f>H74+H75</f>
        <v>0</v>
      </c>
      <c r="I73" s="163">
        <f>I74+I75</f>
        <v>0</v>
      </c>
      <c r="J73" s="163">
        <f>J74+J75</f>
        <v>0</v>
      </c>
      <c r="K73" s="163">
        <f>K74+K75</f>
        <v>0</v>
      </c>
    </row>
    <row r="74" spans="1:11" s="149" customFormat="1" ht="18" customHeight="1" x14ac:dyDescent="0.25">
      <c r="A74" s="160" t="s">
        <v>405</v>
      </c>
      <c r="B74" s="161" t="s">
        <v>428</v>
      </c>
      <c r="C74" s="162"/>
      <c r="D74" s="162"/>
      <c r="E74" s="162"/>
      <c r="F74" s="162"/>
      <c r="G74" s="163">
        <f>ROUND((G73*55%),0)</f>
        <v>0</v>
      </c>
      <c r="H74" s="163">
        <f>ROUND((G74*C74),0)</f>
        <v>0</v>
      </c>
      <c r="I74" s="163">
        <f>G74-H74-J74-K74</f>
        <v>0</v>
      </c>
      <c r="J74" s="163">
        <f>ROUND((G74*E74),0)</f>
        <v>0</v>
      </c>
      <c r="K74" s="163">
        <f>ROUND((G74*F74),0)</f>
        <v>0</v>
      </c>
    </row>
    <row r="75" spans="1:11" s="149" customFormat="1" ht="18" customHeight="1" x14ac:dyDescent="0.25">
      <c r="A75" s="160" t="s">
        <v>409</v>
      </c>
      <c r="B75" s="161" t="s">
        <v>429</v>
      </c>
      <c r="C75" s="162"/>
      <c r="D75" s="162"/>
      <c r="E75" s="162"/>
      <c r="F75" s="162"/>
      <c r="G75" s="163">
        <f>G73-G74</f>
        <v>0</v>
      </c>
      <c r="H75" s="163">
        <f>H76+H77</f>
        <v>0</v>
      </c>
      <c r="I75" s="163">
        <f>I76+I77</f>
        <v>0</v>
      </c>
      <c r="J75" s="163">
        <f>J76+J77</f>
        <v>0</v>
      </c>
      <c r="K75" s="163">
        <f>K76+K77</f>
        <v>0</v>
      </c>
    </row>
    <row r="76" spans="1:11" s="149" customFormat="1" ht="25.5" x14ac:dyDescent="0.25">
      <c r="A76" s="166" t="s">
        <v>20</v>
      </c>
      <c r="B76" s="167" t="s">
        <v>436</v>
      </c>
      <c r="C76" s="156"/>
      <c r="D76" s="156">
        <v>1</v>
      </c>
      <c r="E76" s="156"/>
      <c r="F76" s="156"/>
      <c r="G76" s="157"/>
      <c r="H76" s="157">
        <f>ROUND((G76*C76),0)</f>
        <v>0</v>
      </c>
      <c r="I76" s="157">
        <f>G76-H76-J76-K76</f>
        <v>0</v>
      </c>
      <c r="J76" s="157">
        <f>ROUND((G76*E76),0)</f>
        <v>0</v>
      </c>
      <c r="K76" s="157">
        <f>ROUND((G76*F76),0)</f>
        <v>0</v>
      </c>
    </row>
    <row r="77" spans="1:11" s="149" customFormat="1" ht="18" customHeight="1" x14ac:dyDescent="0.25">
      <c r="A77" s="160" t="s">
        <v>20</v>
      </c>
      <c r="B77" s="161" t="s">
        <v>437</v>
      </c>
      <c r="C77" s="162"/>
      <c r="D77" s="156">
        <v>0.4</v>
      </c>
      <c r="E77" s="156">
        <v>0.5</v>
      </c>
      <c r="F77" s="156">
        <v>0.1</v>
      </c>
      <c r="G77" s="163">
        <f>G75-G76</f>
        <v>0</v>
      </c>
      <c r="H77" s="157">
        <f>ROUND((G77*C77),0)</f>
        <v>0</v>
      </c>
      <c r="I77" s="157">
        <f>G77-H77-J77-K77</f>
        <v>0</v>
      </c>
      <c r="J77" s="157">
        <f>ROUND((G77*E77),0)</f>
        <v>0</v>
      </c>
      <c r="K77" s="157">
        <f>ROUND((G77*F77),0)</f>
        <v>0</v>
      </c>
    </row>
    <row r="78" spans="1:11" s="149" customFormat="1" ht="38.25" x14ac:dyDescent="0.25">
      <c r="A78" s="170">
        <v>2</v>
      </c>
      <c r="B78" s="161" t="s">
        <v>438</v>
      </c>
      <c r="C78" s="156"/>
      <c r="D78" s="156"/>
      <c r="E78" s="156"/>
      <c r="F78" s="156"/>
      <c r="G78" s="157">
        <f>G72-G73-G89</f>
        <v>0</v>
      </c>
      <c r="H78" s="163">
        <f>H79+H80+H83+H86</f>
        <v>0</v>
      </c>
      <c r="I78" s="163">
        <f>I79+I80+I83+I86</f>
        <v>0</v>
      </c>
      <c r="J78" s="163">
        <f>J79+J80+J83+J86</f>
        <v>0</v>
      </c>
      <c r="K78" s="163">
        <f>K79+K80+K83+K86</f>
        <v>0</v>
      </c>
    </row>
    <row r="79" spans="1:11" s="149" customFormat="1" ht="25.5" x14ac:dyDescent="0.25">
      <c r="A79" s="160" t="s">
        <v>405</v>
      </c>
      <c r="B79" s="167" t="s">
        <v>436</v>
      </c>
      <c r="C79" s="156"/>
      <c r="D79" s="156">
        <v>1</v>
      </c>
      <c r="E79" s="156"/>
      <c r="F79" s="156"/>
      <c r="G79" s="157">
        <f>G78-G80-G83-G86</f>
        <v>0</v>
      </c>
      <c r="H79" s="157">
        <f>ROUND((G79*C79),0)</f>
        <v>0</v>
      </c>
      <c r="I79" s="157">
        <f>G79-H79-J79-K79</f>
        <v>0</v>
      </c>
      <c r="J79" s="157">
        <f>ROUND((G79*E79),0)</f>
        <v>0</v>
      </c>
      <c r="K79" s="157">
        <f>ROUND((G79*F79),0)</f>
        <v>0</v>
      </c>
    </row>
    <row r="80" spans="1:11" s="149" customFormat="1" ht="18" customHeight="1" x14ac:dyDescent="0.25">
      <c r="A80" s="160" t="s">
        <v>409</v>
      </c>
      <c r="B80" s="161" t="s">
        <v>437</v>
      </c>
      <c r="C80" s="156"/>
      <c r="D80" s="156"/>
      <c r="E80" s="156"/>
      <c r="F80" s="156"/>
      <c r="G80" s="157"/>
      <c r="H80" s="163">
        <f>SUM(H81:H82)</f>
        <v>0</v>
      </c>
      <c r="I80" s="163">
        <f>SUM(I81:I82)</f>
        <v>0</v>
      </c>
      <c r="J80" s="163">
        <f>SUM(J81:J82)</f>
        <v>0</v>
      </c>
      <c r="K80" s="163">
        <f>SUM(K81:K82)</f>
        <v>0</v>
      </c>
    </row>
    <row r="81" spans="1:11" s="149" customFormat="1" ht="18" customHeight="1" x14ac:dyDescent="0.25">
      <c r="A81" s="166" t="s">
        <v>20</v>
      </c>
      <c r="B81" s="167" t="s">
        <v>428</v>
      </c>
      <c r="C81" s="156"/>
      <c r="D81" s="156">
        <v>1</v>
      </c>
      <c r="E81" s="156"/>
      <c r="F81" s="156"/>
      <c r="G81" s="157">
        <f>ROUND((G80*55%),0)</f>
        <v>0</v>
      </c>
      <c r="H81" s="157">
        <f>ROUND((G81*C81),0)</f>
        <v>0</v>
      </c>
      <c r="I81" s="157">
        <f>G81-H81-J81-K81</f>
        <v>0</v>
      </c>
      <c r="J81" s="157">
        <f>ROUND((G81*E81),0)</f>
        <v>0</v>
      </c>
      <c r="K81" s="157">
        <f>ROUND((G81*F81),0)</f>
        <v>0</v>
      </c>
    </row>
    <row r="82" spans="1:11" s="149" customFormat="1" ht="18" customHeight="1" x14ac:dyDescent="0.25">
      <c r="A82" s="166" t="s">
        <v>20</v>
      </c>
      <c r="B82" s="167" t="s">
        <v>429</v>
      </c>
      <c r="C82" s="156"/>
      <c r="D82" s="156">
        <v>0.4</v>
      </c>
      <c r="E82" s="156">
        <v>0.5</v>
      </c>
      <c r="F82" s="156">
        <v>0.1</v>
      </c>
      <c r="G82" s="157">
        <f>G80-G81</f>
        <v>0</v>
      </c>
      <c r="H82" s="157">
        <f>ROUND((G82*C82),0)</f>
        <v>0</v>
      </c>
      <c r="I82" s="157">
        <f>G82-H82-J82-K82</f>
        <v>0</v>
      </c>
      <c r="J82" s="157">
        <f>ROUND((G82*E82),0)</f>
        <v>0</v>
      </c>
      <c r="K82" s="157">
        <f>ROUND((G82*F82),0)</f>
        <v>0</v>
      </c>
    </row>
    <row r="83" spans="1:11" s="149" customFormat="1" ht="25.5" x14ac:dyDescent="0.25">
      <c r="A83" s="170" t="s">
        <v>439</v>
      </c>
      <c r="B83" s="161" t="s">
        <v>440</v>
      </c>
      <c r="C83" s="156"/>
      <c r="D83" s="156"/>
      <c r="E83" s="156"/>
      <c r="F83" s="156"/>
      <c r="G83" s="157"/>
      <c r="H83" s="163">
        <f>SUM(H84:H85)</f>
        <v>0</v>
      </c>
      <c r="I83" s="163">
        <f>SUM(I84:I85)</f>
        <v>0</v>
      </c>
      <c r="J83" s="163">
        <f>SUM(J84:J85)</f>
        <v>0</v>
      </c>
      <c r="K83" s="163">
        <f>SUM(K84:K85)</f>
        <v>0</v>
      </c>
    </row>
    <row r="84" spans="1:11" s="149" customFormat="1" ht="18" customHeight="1" x14ac:dyDescent="0.25">
      <c r="A84" s="166" t="s">
        <v>20</v>
      </c>
      <c r="B84" s="167" t="s">
        <v>428</v>
      </c>
      <c r="C84" s="156"/>
      <c r="D84" s="156">
        <v>1</v>
      </c>
      <c r="E84" s="156"/>
      <c r="F84" s="156"/>
      <c r="G84" s="157">
        <f>ROUND((G83*55%),0)</f>
        <v>0</v>
      </c>
      <c r="H84" s="157">
        <f>ROUND((G84*C84),0)</f>
        <v>0</v>
      </c>
      <c r="I84" s="157">
        <f>G84-H84-J84-K84</f>
        <v>0</v>
      </c>
      <c r="J84" s="157">
        <f>ROUND((G84*E84),0)</f>
        <v>0</v>
      </c>
      <c r="K84" s="157">
        <f>ROUND((G84*F84),0)</f>
        <v>0</v>
      </c>
    </row>
    <row r="85" spans="1:11" s="149" customFormat="1" ht="18" customHeight="1" x14ac:dyDescent="0.25">
      <c r="A85" s="166" t="s">
        <v>20</v>
      </c>
      <c r="B85" s="167" t="s">
        <v>429</v>
      </c>
      <c r="C85" s="156"/>
      <c r="D85" s="156">
        <v>0.4</v>
      </c>
      <c r="E85" s="156">
        <v>0.5</v>
      </c>
      <c r="F85" s="156">
        <v>0.1</v>
      </c>
      <c r="G85" s="157">
        <f>G83-G84</f>
        <v>0</v>
      </c>
      <c r="H85" s="157">
        <f>ROUND((G85*C85),0)</f>
        <v>0</v>
      </c>
      <c r="I85" s="157">
        <f>G85-H85-J85-K85</f>
        <v>0</v>
      </c>
      <c r="J85" s="157">
        <f>ROUND((G85*E85),0)</f>
        <v>0</v>
      </c>
      <c r="K85" s="157">
        <f>ROUND((G85*F85),0)</f>
        <v>0</v>
      </c>
    </row>
    <row r="86" spans="1:11" s="149" customFormat="1" ht="25.5" x14ac:dyDescent="0.25">
      <c r="A86" s="170" t="s">
        <v>441</v>
      </c>
      <c r="B86" s="161" t="s">
        <v>442</v>
      </c>
      <c r="C86" s="162"/>
      <c r="D86" s="162"/>
      <c r="E86" s="162"/>
      <c r="F86" s="162"/>
      <c r="G86" s="163"/>
      <c r="H86" s="163">
        <f>SUM(H87:H88)</f>
        <v>0</v>
      </c>
      <c r="I86" s="163">
        <f>SUM(I87:I88)</f>
        <v>0</v>
      </c>
      <c r="J86" s="163">
        <f>SUM(J87:J88)</f>
        <v>0</v>
      </c>
      <c r="K86" s="163">
        <f>SUM(K87:K88)</f>
        <v>0</v>
      </c>
    </row>
    <row r="87" spans="1:11" s="149" customFormat="1" ht="18" customHeight="1" x14ac:dyDescent="0.25">
      <c r="A87" s="166" t="s">
        <v>20</v>
      </c>
      <c r="B87" s="167" t="s">
        <v>428</v>
      </c>
      <c r="C87" s="156"/>
      <c r="D87" s="156"/>
      <c r="E87" s="156">
        <v>1</v>
      </c>
      <c r="F87" s="156"/>
      <c r="G87" s="157">
        <f>ROUND((G86*55%),0)</f>
        <v>0</v>
      </c>
      <c r="H87" s="157">
        <f>ROUND((G87*C87),0)</f>
        <v>0</v>
      </c>
      <c r="I87" s="157">
        <f>G87-H87-J87-K87</f>
        <v>0</v>
      </c>
      <c r="J87" s="157">
        <f>ROUND((G87*E87),0)</f>
        <v>0</v>
      </c>
      <c r="K87" s="157">
        <f>ROUND((G87*F87),0)</f>
        <v>0</v>
      </c>
    </row>
    <row r="88" spans="1:11" s="149" customFormat="1" ht="18" customHeight="1" x14ac:dyDescent="0.25">
      <c r="A88" s="166" t="s">
        <v>20</v>
      </c>
      <c r="B88" s="167" t="s">
        <v>429</v>
      </c>
      <c r="C88" s="156"/>
      <c r="D88" s="156">
        <v>0.2</v>
      </c>
      <c r="E88" s="156">
        <v>0.7</v>
      </c>
      <c r="F88" s="156">
        <v>0.1</v>
      </c>
      <c r="G88" s="157">
        <f>G86-G87</f>
        <v>0</v>
      </c>
      <c r="H88" s="157">
        <f>ROUND((G88*C88),0)</f>
        <v>0</v>
      </c>
      <c r="I88" s="157">
        <f>G88-H88-J88-K88</f>
        <v>0</v>
      </c>
      <c r="J88" s="157">
        <f>ROUND((G88*E88),0)</f>
        <v>0</v>
      </c>
      <c r="K88" s="157">
        <f>ROUND((G88*F88),0)</f>
        <v>0</v>
      </c>
    </row>
    <row r="89" spans="1:11" s="149" customFormat="1" ht="38.25" x14ac:dyDescent="0.25">
      <c r="A89" s="172">
        <v>3</v>
      </c>
      <c r="B89" s="169" t="s">
        <v>443</v>
      </c>
      <c r="C89" s="156"/>
      <c r="D89" s="156">
        <v>1</v>
      </c>
      <c r="E89" s="156"/>
      <c r="F89" s="156"/>
      <c r="G89" s="157"/>
      <c r="H89" s="157">
        <f>ROUND((G89*C89),0)</f>
        <v>0</v>
      </c>
      <c r="I89" s="157">
        <f>G89-H89-J89-K89</f>
        <v>0</v>
      </c>
      <c r="J89" s="157">
        <f>ROUND((G89*E89),0)</f>
        <v>0</v>
      </c>
      <c r="K89" s="157">
        <f>ROUND((G89*F89),0)</f>
        <v>0</v>
      </c>
    </row>
    <row r="90" spans="1:11" s="149" customFormat="1" ht="18" customHeight="1" x14ac:dyDescent="0.25">
      <c r="A90" s="160" t="s">
        <v>444</v>
      </c>
      <c r="B90" s="161" t="s">
        <v>445</v>
      </c>
      <c r="C90" s="162"/>
      <c r="D90" s="162">
        <v>0.4</v>
      </c>
      <c r="E90" s="162">
        <v>0.55000000000000004</v>
      </c>
      <c r="F90" s="162">
        <v>0.05</v>
      </c>
      <c r="G90" s="163">
        <v>148000</v>
      </c>
      <c r="H90" s="157">
        <f>ROUND((G90*C90),0)</f>
        <v>0</v>
      </c>
      <c r="I90" s="157">
        <f>G90-H90-J90-K90</f>
        <v>59200</v>
      </c>
      <c r="J90" s="157">
        <f>ROUND((G90*E90),0)</f>
        <v>81400</v>
      </c>
      <c r="K90" s="157">
        <f>ROUND((G90*F90),0)</f>
        <v>7400</v>
      </c>
    </row>
    <row r="91" spans="1:11" s="149" customFormat="1" ht="18" customHeight="1" x14ac:dyDescent="0.25">
      <c r="A91" s="160" t="s">
        <v>446</v>
      </c>
      <c r="B91" s="161" t="s">
        <v>447</v>
      </c>
      <c r="C91" s="162"/>
      <c r="D91" s="162"/>
      <c r="E91" s="162"/>
      <c r="F91" s="162"/>
      <c r="G91" s="163"/>
      <c r="H91" s="163">
        <f>SUM(H92:H94)</f>
        <v>0</v>
      </c>
      <c r="I91" s="163">
        <f>SUM(I92:I94)</f>
        <v>0</v>
      </c>
      <c r="J91" s="163">
        <f>SUM(J92:J94)</f>
        <v>0</v>
      </c>
      <c r="K91" s="163">
        <f>SUM(K92:K94)</f>
        <v>0</v>
      </c>
    </row>
    <row r="92" spans="1:11" s="149" customFormat="1" ht="25.5" x14ac:dyDescent="0.25">
      <c r="A92" s="166" t="s">
        <v>20</v>
      </c>
      <c r="B92" s="167" t="s">
        <v>448</v>
      </c>
      <c r="C92" s="156"/>
      <c r="D92" s="156">
        <v>1</v>
      </c>
      <c r="E92" s="156"/>
      <c r="F92" s="156"/>
      <c r="G92" s="157"/>
      <c r="H92" s="157">
        <f>ROUND((G92*C92),0)</f>
        <v>0</v>
      </c>
      <c r="I92" s="157">
        <f>G92-H92-J92-K92</f>
        <v>0</v>
      </c>
      <c r="J92" s="157">
        <f>ROUND((G92*E92),0)</f>
        <v>0</v>
      </c>
      <c r="K92" s="157">
        <f>ROUND((G92*F92),0)</f>
        <v>0</v>
      </c>
    </row>
    <row r="93" spans="1:11" s="149" customFormat="1" ht="18" customHeight="1" x14ac:dyDescent="0.25">
      <c r="A93" s="166" t="s">
        <v>20</v>
      </c>
      <c r="B93" s="167" t="s">
        <v>449</v>
      </c>
      <c r="C93" s="156"/>
      <c r="D93" s="156"/>
      <c r="E93" s="156">
        <v>1</v>
      </c>
      <c r="F93" s="156"/>
      <c r="G93" s="157"/>
      <c r="H93" s="157">
        <f>ROUND((G93*C93),0)</f>
        <v>0</v>
      </c>
      <c r="I93" s="157">
        <f>G93-H93-J93-K93</f>
        <v>0</v>
      </c>
      <c r="J93" s="157">
        <f>ROUND((G93*E93),0)</f>
        <v>0</v>
      </c>
      <c r="K93" s="157">
        <f>ROUND((G93*F93),0)</f>
        <v>0</v>
      </c>
    </row>
    <row r="94" spans="1:11" s="149" customFormat="1" ht="18" customHeight="1" x14ac:dyDescent="0.25">
      <c r="A94" s="166" t="s">
        <v>20</v>
      </c>
      <c r="B94" s="167" t="s">
        <v>450</v>
      </c>
      <c r="C94" s="156"/>
      <c r="D94" s="156"/>
      <c r="E94" s="156"/>
      <c r="F94" s="156">
        <v>1</v>
      </c>
      <c r="G94" s="157"/>
      <c r="H94" s="157">
        <f>ROUND((G94*C94),0)</f>
        <v>0</v>
      </c>
      <c r="I94" s="157">
        <f>G94-H94-J94-K94</f>
        <v>0</v>
      </c>
      <c r="J94" s="157">
        <f>ROUND((G94*E94),0)</f>
        <v>0</v>
      </c>
      <c r="K94" s="157">
        <f>ROUND((G94*F94),0)</f>
        <v>0</v>
      </c>
    </row>
    <row r="95" spans="1:11" s="149" customFormat="1" ht="25.5" x14ac:dyDescent="0.25">
      <c r="A95" s="160" t="s">
        <v>451</v>
      </c>
      <c r="B95" s="161" t="s">
        <v>452</v>
      </c>
      <c r="C95" s="162"/>
      <c r="D95" s="156">
        <v>1</v>
      </c>
      <c r="E95" s="162"/>
      <c r="F95" s="162"/>
      <c r="G95" s="163"/>
      <c r="H95" s="157">
        <f>ROUND((G95*C95),0)</f>
        <v>0</v>
      </c>
      <c r="I95" s="157">
        <f>G95-H95-J95-K95</f>
        <v>0</v>
      </c>
      <c r="J95" s="157">
        <f>ROUND((G95*E95),0)</f>
        <v>0</v>
      </c>
      <c r="K95" s="157">
        <f>ROUND((G95*F95),0)</f>
        <v>0</v>
      </c>
    </row>
    <row r="96" spans="1:11" s="149" customFormat="1" ht="18" customHeight="1" x14ac:dyDescent="0.25">
      <c r="A96" s="160" t="s">
        <v>453</v>
      </c>
      <c r="B96" s="161" t="s">
        <v>454</v>
      </c>
      <c r="C96" s="162"/>
      <c r="D96" s="162"/>
      <c r="E96" s="162"/>
      <c r="F96" s="162"/>
      <c r="G96" s="163">
        <f>G62-G63-G72-G90-G91-G95</f>
        <v>120000</v>
      </c>
      <c r="H96" s="163">
        <f>H97+H98</f>
        <v>0</v>
      </c>
      <c r="I96" s="163">
        <f>I97+I98</f>
        <v>30000</v>
      </c>
      <c r="J96" s="163">
        <f>J97+J98</f>
        <v>36000</v>
      </c>
      <c r="K96" s="163">
        <f>K97+K98</f>
        <v>54000</v>
      </c>
    </row>
    <row r="97" spans="1:11" s="149" customFormat="1" ht="18" customHeight="1" x14ac:dyDescent="0.25">
      <c r="A97" s="166" t="s">
        <v>5</v>
      </c>
      <c r="B97" s="167" t="s">
        <v>455</v>
      </c>
      <c r="C97" s="156"/>
      <c r="D97" s="156">
        <v>0.3</v>
      </c>
      <c r="E97" s="156">
        <v>0.6</v>
      </c>
      <c r="F97" s="156">
        <v>0.1</v>
      </c>
      <c r="G97" s="157"/>
      <c r="H97" s="157">
        <f>ROUND((G97*C97),0)</f>
        <v>0</v>
      </c>
      <c r="I97" s="157">
        <f>G97-H97-J97-K97</f>
        <v>0</v>
      </c>
      <c r="J97" s="157">
        <f>ROUND((G97*E97),0)</f>
        <v>0</v>
      </c>
      <c r="K97" s="157">
        <f>ROUND((G97*F97),0)</f>
        <v>0</v>
      </c>
    </row>
    <row r="98" spans="1:11" s="149" customFormat="1" ht="18" customHeight="1" x14ac:dyDescent="0.25">
      <c r="A98" s="166" t="s">
        <v>5</v>
      </c>
      <c r="B98" s="167" t="s">
        <v>456</v>
      </c>
      <c r="C98" s="156"/>
      <c r="D98" s="156">
        <v>0.25</v>
      </c>
      <c r="E98" s="156">
        <v>0.3</v>
      </c>
      <c r="F98" s="156">
        <v>0.45</v>
      </c>
      <c r="G98" s="157">
        <f>G96-G97</f>
        <v>120000</v>
      </c>
      <c r="H98" s="157">
        <f>ROUND((G98*C98),0)</f>
        <v>0</v>
      </c>
      <c r="I98" s="157">
        <f>G98-H98-J98-K98</f>
        <v>30000</v>
      </c>
      <c r="J98" s="157">
        <f>ROUND((G98*E98),0)</f>
        <v>36000</v>
      </c>
      <c r="K98" s="157">
        <f>ROUND((G98*F98),0)</f>
        <v>54000</v>
      </c>
    </row>
    <row r="99" spans="1:11" s="171" customFormat="1" ht="18" customHeight="1" x14ac:dyDescent="0.25">
      <c r="A99" s="160">
        <f>+A62+1</f>
        <v>12</v>
      </c>
      <c r="B99" s="161" t="s">
        <v>21</v>
      </c>
      <c r="C99" s="162"/>
      <c r="D99" s="162"/>
      <c r="E99" s="162"/>
      <c r="F99" s="162">
        <v>1</v>
      </c>
      <c r="G99" s="163">
        <v>2570</v>
      </c>
      <c r="H99" s="163">
        <f>ROUND((G99*C99),0)</f>
        <v>0</v>
      </c>
      <c r="I99" s="163">
        <f>G99-H99-J99-K99</f>
        <v>0</v>
      </c>
      <c r="J99" s="163">
        <f>ROUND((G99*E99),0)</f>
        <v>0</v>
      </c>
      <c r="K99" s="163">
        <f>ROUND((G99*F99),0)</f>
        <v>2570</v>
      </c>
    </row>
    <row r="100" spans="1:11" s="149" customFormat="1" ht="18" customHeight="1" x14ac:dyDescent="0.25">
      <c r="A100" s="160">
        <f>+A99+1</f>
        <v>13</v>
      </c>
      <c r="B100" s="161" t="s">
        <v>22</v>
      </c>
      <c r="C100" s="162"/>
      <c r="D100" s="162"/>
      <c r="E100" s="162"/>
      <c r="F100" s="162"/>
      <c r="G100" s="163">
        <v>6000</v>
      </c>
      <c r="H100" s="163">
        <f>SUM(H101:H103)</f>
        <v>4500</v>
      </c>
      <c r="I100" s="163">
        <f>SUM(I101:I103)</f>
        <v>0</v>
      </c>
      <c r="J100" s="163">
        <f>SUM(J101:J103)</f>
        <v>1500</v>
      </c>
      <c r="K100" s="163">
        <f>SUM(K101:K103)</f>
        <v>0</v>
      </c>
    </row>
    <row r="101" spans="1:11" s="149" customFormat="1" ht="18" customHeight="1" x14ac:dyDescent="0.25">
      <c r="A101" s="166" t="s">
        <v>5</v>
      </c>
      <c r="B101" s="167" t="s">
        <v>457</v>
      </c>
      <c r="C101" s="156">
        <v>1</v>
      </c>
      <c r="D101" s="156"/>
      <c r="E101" s="156"/>
      <c r="F101" s="156"/>
      <c r="G101" s="157">
        <v>4500</v>
      </c>
      <c r="H101" s="157">
        <f>ROUND((G101*C101),0)</f>
        <v>4500</v>
      </c>
      <c r="I101" s="157">
        <f>G101-H101-J101-K101</f>
        <v>0</v>
      </c>
      <c r="J101" s="157">
        <f>ROUND((G101*E101),0)</f>
        <v>0</v>
      </c>
      <c r="K101" s="157">
        <f>ROUND((G101*F101),0)</f>
        <v>0</v>
      </c>
    </row>
    <row r="102" spans="1:11" s="149" customFormat="1" ht="18" customHeight="1" x14ac:dyDescent="0.25">
      <c r="A102" s="166" t="s">
        <v>5</v>
      </c>
      <c r="B102" s="167" t="s">
        <v>458</v>
      </c>
      <c r="C102" s="156"/>
      <c r="D102" s="156"/>
      <c r="E102" s="156"/>
      <c r="F102" s="156">
        <v>1</v>
      </c>
      <c r="G102" s="157"/>
      <c r="H102" s="157">
        <f>ROUND((G102*C102),0)</f>
        <v>0</v>
      </c>
      <c r="I102" s="157">
        <f>G102-H102-J102-K102</f>
        <v>0</v>
      </c>
      <c r="J102" s="157">
        <f>ROUND((G102*E102),0)</f>
        <v>0</v>
      </c>
      <c r="K102" s="157">
        <f>ROUND((G102*F102),0)</f>
        <v>0</v>
      </c>
    </row>
    <row r="103" spans="1:11" s="149" customFormat="1" ht="18" customHeight="1" x14ac:dyDescent="0.25">
      <c r="A103" s="173" t="s">
        <v>5</v>
      </c>
      <c r="B103" s="174" t="s">
        <v>459</v>
      </c>
      <c r="C103" s="175"/>
      <c r="D103" s="175"/>
      <c r="E103" s="175">
        <v>1</v>
      </c>
      <c r="F103" s="175"/>
      <c r="G103" s="176">
        <f>G100-G101-G102</f>
        <v>1500</v>
      </c>
      <c r="H103" s="176">
        <f>ROUND((G103*C103),0)</f>
        <v>0</v>
      </c>
      <c r="I103" s="176">
        <f>G103-H103-J103-K103</f>
        <v>0</v>
      </c>
      <c r="J103" s="176">
        <f>ROUND((G103*E103),0)</f>
        <v>1500</v>
      </c>
      <c r="K103" s="176">
        <f>ROUND((G103*F103),0)</f>
        <v>0</v>
      </c>
    </row>
  </sheetData>
  <mergeCells count="9">
    <mergeCell ref="C1:D1"/>
    <mergeCell ref="A4:K4"/>
    <mergeCell ref="A5:K5"/>
    <mergeCell ref="I7:J7"/>
    <mergeCell ref="A8:A9"/>
    <mergeCell ref="B8:B9"/>
    <mergeCell ref="C8:F8"/>
    <mergeCell ref="G8:G9"/>
    <mergeCell ref="H8:K8"/>
  </mergeCells>
  <pageMargins left="0.7" right="0.2" top="0.56999999999999995" bottom="0.46"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9"/>
  <sheetViews>
    <sheetView topLeftCell="A235" workbookViewId="0">
      <selection activeCell="D256" sqref="D256"/>
    </sheetView>
  </sheetViews>
  <sheetFormatPr defaultRowHeight="15.75" x14ac:dyDescent="0.25"/>
  <cols>
    <col min="1" max="1" width="6" style="39" customWidth="1"/>
    <col min="2" max="2" width="67" style="34" customWidth="1"/>
    <col min="3" max="3" width="15" style="34" customWidth="1"/>
    <col min="4" max="4" width="15.7109375" style="34" customWidth="1"/>
    <col min="5" max="5" width="14.5703125" style="34" customWidth="1"/>
    <col min="6" max="248" width="9.140625" style="1"/>
    <col min="249" max="249" width="6" style="1" customWidth="1"/>
    <col min="250" max="250" width="77.140625" style="1" customWidth="1"/>
    <col min="251" max="251" width="16.28515625" style="1" customWidth="1"/>
    <col min="252" max="253" width="14" style="1" customWidth="1"/>
    <col min="254" max="504" width="9.140625" style="1"/>
    <col min="505" max="505" width="6" style="1" customWidth="1"/>
    <col min="506" max="506" width="77.140625" style="1" customWidth="1"/>
    <col min="507" max="507" width="16.28515625" style="1" customWidth="1"/>
    <col min="508" max="509" width="14" style="1" customWidth="1"/>
    <col min="510" max="760" width="9.140625" style="1"/>
    <col min="761" max="761" width="6" style="1" customWidth="1"/>
    <col min="762" max="762" width="77.140625" style="1" customWidth="1"/>
    <col min="763" max="763" width="16.28515625" style="1" customWidth="1"/>
    <col min="764" max="765" width="14" style="1" customWidth="1"/>
    <col min="766" max="1016" width="9.140625" style="1"/>
    <col min="1017" max="1017" width="6" style="1" customWidth="1"/>
    <col min="1018" max="1018" width="77.140625" style="1" customWidth="1"/>
    <col min="1019" max="1019" width="16.28515625" style="1" customWidth="1"/>
    <col min="1020" max="1021" width="14" style="1" customWidth="1"/>
    <col min="1022" max="1272" width="9.140625" style="1"/>
    <col min="1273" max="1273" width="6" style="1" customWidth="1"/>
    <col min="1274" max="1274" width="77.140625" style="1" customWidth="1"/>
    <col min="1275" max="1275" width="16.28515625" style="1" customWidth="1"/>
    <col min="1276" max="1277" width="14" style="1" customWidth="1"/>
    <col min="1278" max="1528" width="9.140625" style="1"/>
    <col min="1529" max="1529" width="6" style="1" customWidth="1"/>
    <col min="1530" max="1530" width="77.140625" style="1" customWidth="1"/>
    <col min="1531" max="1531" width="16.28515625" style="1" customWidth="1"/>
    <col min="1532" max="1533" width="14" style="1" customWidth="1"/>
    <col min="1534" max="1784" width="9.140625" style="1"/>
    <col min="1785" max="1785" width="6" style="1" customWidth="1"/>
    <col min="1786" max="1786" width="77.140625" style="1" customWidth="1"/>
    <col min="1787" max="1787" width="16.28515625" style="1" customWidth="1"/>
    <col min="1788" max="1789" width="14" style="1" customWidth="1"/>
    <col min="1790" max="2040" width="9.140625" style="1"/>
    <col min="2041" max="2041" width="6" style="1" customWidth="1"/>
    <col min="2042" max="2042" width="77.140625" style="1" customWidth="1"/>
    <col min="2043" max="2043" width="16.28515625" style="1" customWidth="1"/>
    <col min="2044" max="2045" width="14" style="1" customWidth="1"/>
    <col min="2046" max="2296" width="9.140625" style="1"/>
    <col min="2297" max="2297" width="6" style="1" customWidth="1"/>
    <col min="2298" max="2298" width="77.140625" style="1" customWidth="1"/>
    <col min="2299" max="2299" width="16.28515625" style="1" customWidth="1"/>
    <col min="2300" max="2301" width="14" style="1" customWidth="1"/>
    <col min="2302" max="2552" width="9.140625" style="1"/>
    <col min="2553" max="2553" width="6" style="1" customWidth="1"/>
    <col min="2554" max="2554" width="77.140625" style="1" customWidth="1"/>
    <col min="2555" max="2555" width="16.28515625" style="1" customWidth="1"/>
    <col min="2556" max="2557" width="14" style="1" customWidth="1"/>
    <col min="2558" max="2808" width="9.140625" style="1"/>
    <col min="2809" max="2809" width="6" style="1" customWidth="1"/>
    <col min="2810" max="2810" width="77.140625" style="1" customWidth="1"/>
    <col min="2811" max="2811" width="16.28515625" style="1" customWidth="1"/>
    <col min="2812" max="2813" width="14" style="1" customWidth="1"/>
    <col min="2814" max="3064" width="9.140625" style="1"/>
    <col min="3065" max="3065" width="6" style="1" customWidth="1"/>
    <col min="3066" max="3066" width="77.140625" style="1" customWidth="1"/>
    <col min="3067" max="3067" width="16.28515625" style="1" customWidth="1"/>
    <col min="3068" max="3069" width="14" style="1" customWidth="1"/>
    <col min="3070" max="3320" width="9.140625" style="1"/>
    <col min="3321" max="3321" width="6" style="1" customWidth="1"/>
    <col min="3322" max="3322" width="77.140625" style="1" customWidth="1"/>
    <col min="3323" max="3323" width="16.28515625" style="1" customWidth="1"/>
    <col min="3324" max="3325" width="14" style="1" customWidth="1"/>
    <col min="3326" max="3576" width="9.140625" style="1"/>
    <col min="3577" max="3577" width="6" style="1" customWidth="1"/>
    <col min="3578" max="3578" width="77.140625" style="1" customWidth="1"/>
    <col min="3579" max="3579" width="16.28515625" style="1" customWidth="1"/>
    <col min="3580" max="3581" width="14" style="1" customWidth="1"/>
    <col min="3582" max="3832" width="9.140625" style="1"/>
    <col min="3833" max="3833" width="6" style="1" customWidth="1"/>
    <col min="3834" max="3834" width="77.140625" style="1" customWidth="1"/>
    <col min="3835" max="3835" width="16.28515625" style="1" customWidth="1"/>
    <col min="3836" max="3837" width="14" style="1" customWidth="1"/>
    <col min="3838" max="4088" width="9.140625" style="1"/>
    <col min="4089" max="4089" width="6" style="1" customWidth="1"/>
    <col min="4090" max="4090" width="77.140625" style="1" customWidth="1"/>
    <col min="4091" max="4091" width="16.28515625" style="1" customWidth="1"/>
    <col min="4092" max="4093" width="14" style="1" customWidth="1"/>
    <col min="4094" max="4344" width="9.140625" style="1"/>
    <col min="4345" max="4345" width="6" style="1" customWidth="1"/>
    <col min="4346" max="4346" width="77.140625" style="1" customWidth="1"/>
    <col min="4347" max="4347" width="16.28515625" style="1" customWidth="1"/>
    <col min="4348" max="4349" width="14" style="1" customWidth="1"/>
    <col min="4350" max="4600" width="9.140625" style="1"/>
    <col min="4601" max="4601" width="6" style="1" customWidth="1"/>
    <col min="4602" max="4602" width="77.140625" style="1" customWidth="1"/>
    <col min="4603" max="4603" width="16.28515625" style="1" customWidth="1"/>
    <col min="4604" max="4605" width="14" style="1" customWidth="1"/>
    <col min="4606" max="4856" width="9.140625" style="1"/>
    <col min="4857" max="4857" width="6" style="1" customWidth="1"/>
    <col min="4858" max="4858" width="77.140625" style="1" customWidth="1"/>
    <col min="4859" max="4859" width="16.28515625" style="1" customWidth="1"/>
    <col min="4860" max="4861" width="14" style="1" customWidth="1"/>
    <col min="4862" max="5112" width="9.140625" style="1"/>
    <col min="5113" max="5113" width="6" style="1" customWidth="1"/>
    <col min="5114" max="5114" width="77.140625" style="1" customWidth="1"/>
    <col min="5115" max="5115" width="16.28515625" style="1" customWidth="1"/>
    <col min="5116" max="5117" width="14" style="1" customWidth="1"/>
    <col min="5118" max="5368" width="9.140625" style="1"/>
    <col min="5369" max="5369" width="6" style="1" customWidth="1"/>
    <col min="5370" max="5370" width="77.140625" style="1" customWidth="1"/>
    <col min="5371" max="5371" width="16.28515625" style="1" customWidth="1"/>
    <col min="5372" max="5373" width="14" style="1" customWidth="1"/>
    <col min="5374" max="5624" width="9.140625" style="1"/>
    <col min="5625" max="5625" width="6" style="1" customWidth="1"/>
    <col min="5626" max="5626" width="77.140625" style="1" customWidth="1"/>
    <col min="5627" max="5627" width="16.28515625" style="1" customWidth="1"/>
    <col min="5628" max="5629" width="14" style="1" customWidth="1"/>
    <col min="5630" max="5880" width="9.140625" style="1"/>
    <col min="5881" max="5881" width="6" style="1" customWidth="1"/>
    <col min="5882" max="5882" width="77.140625" style="1" customWidth="1"/>
    <col min="5883" max="5883" width="16.28515625" style="1" customWidth="1"/>
    <col min="5884" max="5885" width="14" style="1" customWidth="1"/>
    <col min="5886" max="6136" width="9.140625" style="1"/>
    <col min="6137" max="6137" width="6" style="1" customWidth="1"/>
    <col min="6138" max="6138" width="77.140625" style="1" customWidth="1"/>
    <col min="6139" max="6139" width="16.28515625" style="1" customWidth="1"/>
    <col min="6140" max="6141" width="14" style="1" customWidth="1"/>
    <col min="6142" max="6392" width="9.140625" style="1"/>
    <col min="6393" max="6393" width="6" style="1" customWidth="1"/>
    <col min="6394" max="6394" width="77.140625" style="1" customWidth="1"/>
    <col min="6395" max="6395" width="16.28515625" style="1" customWidth="1"/>
    <col min="6396" max="6397" width="14" style="1" customWidth="1"/>
    <col min="6398" max="6648" width="9.140625" style="1"/>
    <col min="6649" max="6649" width="6" style="1" customWidth="1"/>
    <col min="6650" max="6650" width="77.140625" style="1" customWidth="1"/>
    <col min="6651" max="6651" width="16.28515625" style="1" customWidth="1"/>
    <col min="6652" max="6653" width="14" style="1" customWidth="1"/>
    <col min="6654" max="6904" width="9.140625" style="1"/>
    <col min="6905" max="6905" width="6" style="1" customWidth="1"/>
    <col min="6906" max="6906" width="77.140625" style="1" customWidth="1"/>
    <col min="6907" max="6907" width="16.28515625" style="1" customWidth="1"/>
    <col min="6908" max="6909" width="14" style="1" customWidth="1"/>
    <col min="6910" max="7160" width="9.140625" style="1"/>
    <col min="7161" max="7161" width="6" style="1" customWidth="1"/>
    <col min="7162" max="7162" width="77.140625" style="1" customWidth="1"/>
    <col min="7163" max="7163" width="16.28515625" style="1" customWidth="1"/>
    <col min="7164" max="7165" width="14" style="1" customWidth="1"/>
    <col min="7166" max="7416" width="9.140625" style="1"/>
    <col min="7417" max="7417" width="6" style="1" customWidth="1"/>
    <col min="7418" max="7418" width="77.140625" style="1" customWidth="1"/>
    <col min="7419" max="7419" width="16.28515625" style="1" customWidth="1"/>
    <col min="7420" max="7421" width="14" style="1" customWidth="1"/>
    <col min="7422" max="7672" width="9.140625" style="1"/>
    <col min="7673" max="7673" width="6" style="1" customWidth="1"/>
    <col min="7674" max="7674" width="77.140625" style="1" customWidth="1"/>
    <col min="7675" max="7675" width="16.28515625" style="1" customWidth="1"/>
    <col min="7676" max="7677" width="14" style="1" customWidth="1"/>
    <col min="7678" max="7928" width="9.140625" style="1"/>
    <col min="7929" max="7929" width="6" style="1" customWidth="1"/>
    <col min="7930" max="7930" width="77.140625" style="1" customWidth="1"/>
    <col min="7931" max="7931" width="16.28515625" style="1" customWidth="1"/>
    <col min="7932" max="7933" width="14" style="1" customWidth="1"/>
    <col min="7934" max="8184" width="9.140625" style="1"/>
    <col min="8185" max="8185" width="6" style="1" customWidth="1"/>
    <col min="8186" max="8186" width="77.140625" style="1" customWidth="1"/>
    <col min="8187" max="8187" width="16.28515625" style="1" customWidth="1"/>
    <col min="8188" max="8189" width="14" style="1" customWidth="1"/>
    <col min="8190" max="8440" width="9.140625" style="1"/>
    <col min="8441" max="8441" width="6" style="1" customWidth="1"/>
    <col min="8442" max="8442" width="77.140625" style="1" customWidth="1"/>
    <col min="8443" max="8443" width="16.28515625" style="1" customWidth="1"/>
    <col min="8444" max="8445" width="14" style="1" customWidth="1"/>
    <col min="8446" max="8696" width="9.140625" style="1"/>
    <col min="8697" max="8697" width="6" style="1" customWidth="1"/>
    <col min="8698" max="8698" width="77.140625" style="1" customWidth="1"/>
    <col min="8699" max="8699" width="16.28515625" style="1" customWidth="1"/>
    <col min="8700" max="8701" width="14" style="1" customWidth="1"/>
    <col min="8702" max="8952" width="9.140625" style="1"/>
    <col min="8953" max="8953" width="6" style="1" customWidth="1"/>
    <col min="8954" max="8954" width="77.140625" style="1" customWidth="1"/>
    <col min="8955" max="8955" width="16.28515625" style="1" customWidth="1"/>
    <col min="8956" max="8957" width="14" style="1" customWidth="1"/>
    <col min="8958" max="9208" width="9.140625" style="1"/>
    <col min="9209" max="9209" width="6" style="1" customWidth="1"/>
    <col min="9210" max="9210" width="77.140625" style="1" customWidth="1"/>
    <col min="9211" max="9211" width="16.28515625" style="1" customWidth="1"/>
    <col min="9212" max="9213" width="14" style="1" customWidth="1"/>
    <col min="9214" max="9464" width="9.140625" style="1"/>
    <col min="9465" max="9465" width="6" style="1" customWidth="1"/>
    <col min="9466" max="9466" width="77.140625" style="1" customWidth="1"/>
    <col min="9467" max="9467" width="16.28515625" style="1" customWidth="1"/>
    <col min="9468" max="9469" width="14" style="1" customWidth="1"/>
    <col min="9470" max="9720" width="9.140625" style="1"/>
    <col min="9721" max="9721" width="6" style="1" customWidth="1"/>
    <col min="9722" max="9722" width="77.140625" style="1" customWidth="1"/>
    <col min="9723" max="9723" width="16.28515625" style="1" customWidth="1"/>
    <col min="9724" max="9725" width="14" style="1" customWidth="1"/>
    <col min="9726" max="9976" width="9.140625" style="1"/>
    <col min="9977" max="9977" width="6" style="1" customWidth="1"/>
    <col min="9978" max="9978" width="77.140625" style="1" customWidth="1"/>
    <col min="9979" max="9979" width="16.28515625" style="1" customWidth="1"/>
    <col min="9980" max="9981" width="14" style="1" customWidth="1"/>
    <col min="9982" max="10232" width="9.140625" style="1"/>
    <col min="10233" max="10233" width="6" style="1" customWidth="1"/>
    <col min="10234" max="10234" width="77.140625" style="1" customWidth="1"/>
    <col min="10235" max="10235" width="16.28515625" style="1" customWidth="1"/>
    <col min="10236" max="10237" width="14" style="1" customWidth="1"/>
    <col min="10238" max="10488" width="9.140625" style="1"/>
    <col min="10489" max="10489" width="6" style="1" customWidth="1"/>
    <col min="10490" max="10490" width="77.140625" style="1" customWidth="1"/>
    <col min="10491" max="10491" width="16.28515625" style="1" customWidth="1"/>
    <col min="10492" max="10493" width="14" style="1" customWidth="1"/>
    <col min="10494" max="10744" width="9.140625" style="1"/>
    <col min="10745" max="10745" width="6" style="1" customWidth="1"/>
    <col min="10746" max="10746" width="77.140625" style="1" customWidth="1"/>
    <col min="10747" max="10747" width="16.28515625" style="1" customWidth="1"/>
    <col min="10748" max="10749" width="14" style="1" customWidth="1"/>
    <col min="10750" max="11000" width="9.140625" style="1"/>
    <col min="11001" max="11001" width="6" style="1" customWidth="1"/>
    <col min="11002" max="11002" width="77.140625" style="1" customWidth="1"/>
    <col min="11003" max="11003" width="16.28515625" style="1" customWidth="1"/>
    <col min="11004" max="11005" width="14" style="1" customWidth="1"/>
    <col min="11006" max="11256" width="9.140625" style="1"/>
    <col min="11257" max="11257" width="6" style="1" customWidth="1"/>
    <col min="11258" max="11258" width="77.140625" style="1" customWidth="1"/>
    <col min="11259" max="11259" width="16.28515625" style="1" customWidth="1"/>
    <col min="11260" max="11261" width="14" style="1" customWidth="1"/>
    <col min="11262" max="11512" width="9.140625" style="1"/>
    <col min="11513" max="11513" width="6" style="1" customWidth="1"/>
    <col min="11514" max="11514" width="77.140625" style="1" customWidth="1"/>
    <col min="11515" max="11515" width="16.28515625" style="1" customWidth="1"/>
    <col min="11516" max="11517" width="14" style="1" customWidth="1"/>
    <col min="11518" max="11768" width="9.140625" style="1"/>
    <col min="11769" max="11769" width="6" style="1" customWidth="1"/>
    <col min="11770" max="11770" width="77.140625" style="1" customWidth="1"/>
    <col min="11771" max="11771" width="16.28515625" style="1" customWidth="1"/>
    <col min="11772" max="11773" width="14" style="1" customWidth="1"/>
    <col min="11774" max="12024" width="9.140625" style="1"/>
    <col min="12025" max="12025" width="6" style="1" customWidth="1"/>
    <col min="12026" max="12026" width="77.140625" style="1" customWidth="1"/>
    <col min="12027" max="12027" width="16.28515625" style="1" customWidth="1"/>
    <col min="12028" max="12029" width="14" style="1" customWidth="1"/>
    <col min="12030" max="12280" width="9.140625" style="1"/>
    <col min="12281" max="12281" width="6" style="1" customWidth="1"/>
    <col min="12282" max="12282" width="77.140625" style="1" customWidth="1"/>
    <col min="12283" max="12283" width="16.28515625" style="1" customWidth="1"/>
    <col min="12284" max="12285" width="14" style="1" customWidth="1"/>
    <col min="12286" max="12536" width="9.140625" style="1"/>
    <col min="12537" max="12537" width="6" style="1" customWidth="1"/>
    <col min="12538" max="12538" width="77.140625" style="1" customWidth="1"/>
    <col min="12539" max="12539" width="16.28515625" style="1" customWidth="1"/>
    <col min="12540" max="12541" width="14" style="1" customWidth="1"/>
    <col min="12542" max="12792" width="9.140625" style="1"/>
    <col min="12793" max="12793" width="6" style="1" customWidth="1"/>
    <col min="12794" max="12794" width="77.140625" style="1" customWidth="1"/>
    <col min="12795" max="12795" width="16.28515625" style="1" customWidth="1"/>
    <col min="12796" max="12797" width="14" style="1" customWidth="1"/>
    <col min="12798" max="13048" width="9.140625" style="1"/>
    <col min="13049" max="13049" width="6" style="1" customWidth="1"/>
    <col min="13050" max="13050" width="77.140625" style="1" customWidth="1"/>
    <col min="13051" max="13051" width="16.28515625" style="1" customWidth="1"/>
    <col min="13052" max="13053" width="14" style="1" customWidth="1"/>
    <col min="13054" max="13304" width="9.140625" style="1"/>
    <col min="13305" max="13305" width="6" style="1" customWidth="1"/>
    <col min="13306" max="13306" width="77.140625" style="1" customWidth="1"/>
    <col min="13307" max="13307" width="16.28515625" style="1" customWidth="1"/>
    <col min="13308" max="13309" width="14" style="1" customWidth="1"/>
    <col min="13310" max="13560" width="9.140625" style="1"/>
    <col min="13561" max="13561" width="6" style="1" customWidth="1"/>
    <col min="13562" max="13562" width="77.140625" style="1" customWidth="1"/>
    <col min="13563" max="13563" width="16.28515625" style="1" customWidth="1"/>
    <col min="13564" max="13565" width="14" style="1" customWidth="1"/>
    <col min="13566" max="13816" width="9.140625" style="1"/>
    <col min="13817" max="13817" width="6" style="1" customWidth="1"/>
    <col min="13818" max="13818" width="77.140625" style="1" customWidth="1"/>
    <col min="13819" max="13819" width="16.28515625" style="1" customWidth="1"/>
    <col min="13820" max="13821" width="14" style="1" customWidth="1"/>
    <col min="13822" max="14072" width="9.140625" style="1"/>
    <col min="14073" max="14073" width="6" style="1" customWidth="1"/>
    <col min="14074" max="14074" width="77.140625" style="1" customWidth="1"/>
    <col min="14075" max="14075" width="16.28515625" style="1" customWidth="1"/>
    <col min="14076" max="14077" width="14" style="1" customWidth="1"/>
    <col min="14078" max="14328" width="9.140625" style="1"/>
    <col min="14329" max="14329" width="6" style="1" customWidth="1"/>
    <col min="14330" max="14330" width="77.140625" style="1" customWidth="1"/>
    <col min="14331" max="14331" width="16.28515625" style="1" customWidth="1"/>
    <col min="14332" max="14333" width="14" style="1" customWidth="1"/>
    <col min="14334" max="14584" width="9.140625" style="1"/>
    <col min="14585" max="14585" width="6" style="1" customWidth="1"/>
    <col min="14586" max="14586" width="77.140625" style="1" customWidth="1"/>
    <col min="14587" max="14587" width="16.28515625" style="1" customWidth="1"/>
    <col min="14588" max="14589" width="14" style="1" customWidth="1"/>
    <col min="14590" max="14840" width="9.140625" style="1"/>
    <col min="14841" max="14841" width="6" style="1" customWidth="1"/>
    <col min="14842" max="14842" width="77.140625" style="1" customWidth="1"/>
    <col min="14843" max="14843" width="16.28515625" style="1" customWidth="1"/>
    <col min="14844" max="14845" width="14" style="1" customWidth="1"/>
    <col min="14846" max="15096" width="9.140625" style="1"/>
    <col min="15097" max="15097" width="6" style="1" customWidth="1"/>
    <col min="15098" max="15098" width="77.140625" style="1" customWidth="1"/>
    <col min="15099" max="15099" width="16.28515625" style="1" customWidth="1"/>
    <col min="15100" max="15101" width="14" style="1" customWidth="1"/>
    <col min="15102" max="15352" width="9.140625" style="1"/>
    <col min="15353" max="15353" width="6" style="1" customWidth="1"/>
    <col min="15354" max="15354" width="77.140625" style="1" customWidth="1"/>
    <col min="15355" max="15355" width="16.28515625" style="1" customWidth="1"/>
    <col min="15356" max="15357" width="14" style="1" customWidth="1"/>
    <col min="15358" max="15608" width="9.140625" style="1"/>
    <col min="15609" max="15609" width="6" style="1" customWidth="1"/>
    <col min="15610" max="15610" width="77.140625" style="1" customWidth="1"/>
    <col min="15611" max="15611" width="16.28515625" style="1" customWidth="1"/>
    <col min="15612" max="15613" width="14" style="1" customWidth="1"/>
    <col min="15614" max="15864" width="9.140625" style="1"/>
    <col min="15865" max="15865" width="6" style="1" customWidth="1"/>
    <col min="15866" max="15866" width="77.140625" style="1" customWidth="1"/>
    <col min="15867" max="15867" width="16.28515625" style="1" customWidth="1"/>
    <col min="15868" max="15869" width="14" style="1" customWidth="1"/>
    <col min="15870" max="16120" width="9.140625" style="1"/>
    <col min="16121" max="16121" width="6" style="1" customWidth="1"/>
    <col min="16122" max="16122" width="77.140625" style="1" customWidth="1"/>
    <col min="16123" max="16123" width="16.28515625" style="1" customWidth="1"/>
    <col min="16124" max="16125" width="14" style="1" customWidth="1"/>
    <col min="16126" max="16384" width="9.140625" style="1"/>
  </cols>
  <sheetData>
    <row r="1" spans="1:5" s="7" customFormat="1" x14ac:dyDescent="0.25">
      <c r="A1" s="126" t="s">
        <v>291</v>
      </c>
      <c r="B1" s="6"/>
      <c r="D1" s="248" t="s">
        <v>24</v>
      </c>
      <c r="E1" s="248"/>
    </row>
    <row r="2" spans="1:5" s="7" customFormat="1" x14ac:dyDescent="0.25">
      <c r="A2" s="126" t="s">
        <v>1</v>
      </c>
      <c r="B2" s="6"/>
    </row>
    <row r="3" spans="1:5" s="7" customFormat="1" x14ac:dyDescent="0.25">
      <c r="A3" s="126"/>
      <c r="B3" s="6"/>
    </row>
    <row r="4" spans="1:5" s="36" customFormat="1" ht="16.5" x14ac:dyDescent="0.25">
      <c r="A4" s="279" t="s">
        <v>57</v>
      </c>
      <c r="B4" s="279"/>
      <c r="C4" s="279"/>
      <c r="D4" s="279"/>
      <c r="E4" s="279"/>
    </row>
    <row r="5" spans="1:5" x14ac:dyDescent="0.25">
      <c r="A5" s="280" t="str">
        <f>'Thu chi tiet'!A5:K5</f>
        <v>(Kèm theo Nghị quyết số            /NQ-HĐND ngày          /12/2022 của HĐND huyện Nghi Xuân)</v>
      </c>
      <c r="B5" s="281"/>
      <c r="C5" s="281"/>
      <c r="D5" s="281"/>
      <c r="E5" s="281"/>
    </row>
    <row r="6" spans="1:5" x14ac:dyDescent="0.25">
      <c r="A6" s="38"/>
      <c r="B6" s="35"/>
      <c r="C6" s="35"/>
      <c r="D6" s="35"/>
      <c r="E6" s="35"/>
    </row>
    <row r="7" spans="1:5" x14ac:dyDescent="0.25">
      <c r="D7" s="246" t="s">
        <v>58</v>
      </c>
    </row>
    <row r="8" spans="1:5" x14ac:dyDescent="0.25">
      <c r="A8" s="276" t="s">
        <v>2</v>
      </c>
      <c r="B8" s="276" t="s">
        <v>226</v>
      </c>
      <c r="C8" s="270" t="s">
        <v>59</v>
      </c>
      <c r="D8" s="271"/>
      <c r="E8" s="272"/>
    </row>
    <row r="9" spans="1:5" x14ac:dyDescent="0.25">
      <c r="A9" s="277"/>
      <c r="B9" s="277"/>
      <c r="C9" s="273" t="s">
        <v>29</v>
      </c>
      <c r="D9" s="274"/>
      <c r="E9" s="275"/>
    </row>
    <row r="10" spans="1:5" ht="28.5" x14ac:dyDescent="0.25">
      <c r="A10" s="278"/>
      <c r="B10" s="278"/>
      <c r="C10" s="40" t="s">
        <v>228</v>
      </c>
      <c r="D10" s="40" t="s">
        <v>43</v>
      </c>
      <c r="E10" s="40" t="s">
        <v>44</v>
      </c>
    </row>
    <row r="11" spans="1:5" x14ac:dyDescent="0.25">
      <c r="A11" s="41"/>
      <c r="B11" s="41" t="s">
        <v>227</v>
      </c>
      <c r="C11" s="42">
        <f>C12+C64+C247</f>
        <v>733015000</v>
      </c>
      <c r="D11" s="42">
        <f>D12+D64+D247</f>
        <v>580208000</v>
      </c>
      <c r="E11" s="42">
        <f>E12+E64+E247</f>
        <v>152807000</v>
      </c>
    </row>
    <row r="12" spans="1:5" x14ac:dyDescent="0.25">
      <c r="A12" s="40" t="s">
        <v>34</v>
      </c>
      <c r="B12" s="130" t="s">
        <v>61</v>
      </c>
      <c r="C12" s="131">
        <f>SUM(D12:E12)</f>
        <v>178800000</v>
      </c>
      <c r="D12" s="132">
        <f>D13+D14+D15+D18+D19+D20+D29+D52+D63</f>
        <v>117400000</v>
      </c>
      <c r="E12" s="131">
        <v>61400000</v>
      </c>
    </row>
    <row r="13" spans="1:5" x14ac:dyDescent="0.25">
      <c r="A13" s="40">
        <v>1</v>
      </c>
      <c r="B13" s="230" t="s">
        <v>294</v>
      </c>
      <c r="C13" s="231"/>
      <c r="D13" s="232">
        <f>2000000+1500000</f>
        <v>3500000</v>
      </c>
      <c r="E13" s="131"/>
    </row>
    <row r="14" spans="1:5" x14ac:dyDescent="0.25">
      <c r="A14" s="40">
        <v>2</v>
      </c>
      <c r="B14" s="230" t="s">
        <v>581</v>
      </c>
      <c r="C14" s="231"/>
      <c r="D14" s="232">
        <v>5000000</v>
      </c>
      <c r="E14" s="131"/>
    </row>
    <row r="15" spans="1:5" ht="31.5" x14ac:dyDescent="0.25">
      <c r="A15" s="40">
        <v>3</v>
      </c>
      <c r="B15" s="233" t="s">
        <v>568</v>
      </c>
      <c r="C15" s="231"/>
      <c r="D15" s="232">
        <f>D16+D17</f>
        <v>12000000</v>
      </c>
      <c r="E15" s="131"/>
    </row>
    <row r="16" spans="1:5" x14ac:dyDescent="0.25">
      <c r="A16" s="134" t="s">
        <v>8</v>
      </c>
      <c r="B16" s="234" t="s">
        <v>295</v>
      </c>
      <c r="C16" s="235"/>
      <c r="D16" s="236">
        <v>6000000</v>
      </c>
      <c r="E16" s="131"/>
    </row>
    <row r="17" spans="1:5" x14ac:dyDescent="0.25">
      <c r="A17" s="134" t="s">
        <v>9</v>
      </c>
      <c r="B17" s="234" t="s">
        <v>296</v>
      </c>
      <c r="C17" s="235"/>
      <c r="D17" s="236">
        <v>6000000</v>
      </c>
      <c r="E17" s="131"/>
    </row>
    <row r="18" spans="1:5" x14ac:dyDescent="0.25">
      <c r="A18" s="40">
        <v>4</v>
      </c>
      <c r="B18" s="233" t="s">
        <v>297</v>
      </c>
      <c r="C18" s="231"/>
      <c r="D18" s="232">
        <v>500000</v>
      </c>
      <c r="E18" s="131"/>
    </row>
    <row r="19" spans="1:5" x14ac:dyDescent="0.25">
      <c r="A19" s="40">
        <v>5</v>
      </c>
      <c r="B19" s="233" t="s">
        <v>298</v>
      </c>
      <c r="C19" s="231"/>
      <c r="D19" s="232">
        <v>1000000</v>
      </c>
      <c r="E19" s="131"/>
    </row>
    <row r="20" spans="1:5" ht="31.5" x14ac:dyDescent="0.25">
      <c r="A20" s="40">
        <v>6</v>
      </c>
      <c r="B20" s="233" t="s">
        <v>299</v>
      </c>
      <c r="C20" s="231"/>
      <c r="D20" s="232">
        <f>SUM(D21:D28)</f>
        <v>5649498</v>
      </c>
      <c r="E20" s="131"/>
    </row>
    <row r="21" spans="1:5" x14ac:dyDescent="0.25">
      <c r="A21" s="134" t="s">
        <v>300</v>
      </c>
      <c r="B21" s="237" t="s">
        <v>301</v>
      </c>
      <c r="C21" s="27"/>
      <c r="D21" s="27">
        <v>2000000</v>
      </c>
      <c r="E21" s="131"/>
    </row>
    <row r="22" spans="1:5" x14ac:dyDescent="0.25">
      <c r="A22" s="134" t="s">
        <v>302</v>
      </c>
      <c r="B22" s="237" t="s">
        <v>303</v>
      </c>
      <c r="C22" s="27"/>
      <c r="D22" s="27">
        <v>300000</v>
      </c>
      <c r="E22" s="131"/>
    </row>
    <row r="23" spans="1:5" x14ac:dyDescent="0.25">
      <c r="A23" s="134" t="s">
        <v>304</v>
      </c>
      <c r="B23" s="237" t="s">
        <v>305</v>
      </c>
      <c r="C23" s="27"/>
      <c r="D23" s="27">
        <v>200000</v>
      </c>
      <c r="E23" s="131"/>
    </row>
    <row r="24" spans="1:5" x14ac:dyDescent="0.25">
      <c r="A24" s="134" t="s">
        <v>306</v>
      </c>
      <c r="B24" s="234" t="s">
        <v>307</v>
      </c>
      <c r="C24" s="27"/>
      <c r="D24" s="27">
        <v>551000</v>
      </c>
      <c r="E24" s="131"/>
    </row>
    <row r="25" spans="1:5" x14ac:dyDescent="0.25">
      <c r="A25" s="134" t="s">
        <v>308</v>
      </c>
      <c r="B25" s="234" t="s">
        <v>309</v>
      </c>
      <c r="C25" s="27"/>
      <c r="D25" s="27">
        <v>683400</v>
      </c>
      <c r="E25" s="131"/>
    </row>
    <row r="26" spans="1:5" x14ac:dyDescent="0.25">
      <c r="A26" s="134" t="s">
        <v>310</v>
      </c>
      <c r="B26" s="234" t="s">
        <v>311</v>
      </c>
      <c r="C26" s="27"/>
      <c r="D26" s="27">
        <v>90098</v>
      </c>
      <c r="E26" s="131"/>
    </row>
    <row r="27" spans="1:5" x14ac:dyDescent="0.25">
      <c r="A27" s="134" t="s">
        <v>312</v>
      </c>
      <c r="B27" s="238" t="s">
        <v>313</v>
      </c>
      <c r="C27" s="27"/>
      <c r="D27" s="27">
        <v>1125000</v>
      </c>
      <c r="E27" s="131"/>
    </row>
    <row r="28" spans="1:5" x14ac:dyDescent="0.25">
      <c r="A28" s="134" t="s">
        <v>314</v>
      </c>
      <c r="B28" s="234" t="s">
        <v>315</v>
      </c>
      <c r="C28" s="27"/>
      <c r="D28" s="27">
        <v>700000</v>
      </c>
      <c r="E28" s="131"/>
    </row>
    <row r="29" spans="1:5" ht="31.5" x14ac:dyDescent="0.25">
      <c r="A29" s="40">
        <v>7</v>
      </c>
      <c r="B29" s="233" t="s">
        <v>316</v>
      </c>
      <c r="C29" s="231"/>
      <c r="D29" s="232">
        <f>SUM(D30:D51)</f>
        <v>65150502</v>
      </c>
      <c r="E29" s="131"/>
    </row>
    <row r="30" spans="1:5" ht="31.5" x14ac:dyDescent="0.25">
      <c r="A30" s="134" t="s">
        <v>317</v>
      </c>
      <c r="B30" s="239" t="s">
        <v>318</v>
      </c>
      <c r="C30" s="27"/>
      <c r="D30" s="27">
        <f>(7633.4-1791)/0.001</f>
        <v>5842399.9999999991</v>
      </c>
      <c r="E30" s="131"/>
    </row>
    <row r="31" spans="1:5" ht="31.5" x14ac:dyDescent="0.25">
      <c r="A31" s="134" t="s">
        <v>319</v>
      </c>
      <c r="B31" s="239" t="s">
        <v>320</v>
      </c>
      <c r="C31" s="27"/>
      <c r="D31" s="27">
        <v>5603859</v>
      </c>
      <c r="E31" s="243"/>
    </row>
    <row r="32" spans="1:5" x14ac:dyDescent="0.25">
      <c r="A32" s="134" t="s">
        <v>321</v>
      </c>
      <c r="B32" s="237" t="s">
        <v>322</v>
      </c>
      <c r="C32" s="27"/>
      <c r="D32" s="27">
        <v>2500000</v>
      </c>
      <c r="E32" s="131"/>
    </row>
    <row r="33" spans="1:5" x14ac:dyDescent="0.25">
      <c r="A33" s="134" t="s">
        <v>323</v>
      </c>
      <c r="B33" s="237" t="s">
        <v>324</v>
      </c>
      <c r="C33" s="27"/>
      <c r="D33" s="27">
        <v>2000000</v>
      </c>
      <c r="E33" s="131"/>
    </row>
    <row r="34" spans="1:5" x14ac:dyDescent="0.25">
      <c r="A34" s="134" t="s">
        <v>325</v>
      </c>
      <c r="B34" s="237" t="s">
        <v>326</v>
      </c>
      <c r="C34" s="27"/>
      <c r="D34" s="27">
        <v>1000000</v>
      </c>
      <c r="E34" s="131"/>
    </row>
    <row r="35" spans="1:5" x14ac:dyDescent="0.25">
      <c r="A35" s="134" t="s">
        <v>327</v>
      </c>
      <c r="B35" s="237" t="s">
        <v>328</v>
      </c>
      <c r="C35" s="27"/>
      <c r="D35" s="27">
        <v>2500000</v>
      </c>
      <c r="E35" s="131"/>
    </row>
    <row r="36" spans="1:5" x14ac:dyDescent="0.25">
      <c r="A36" s="134" t="s">
        <v>329</v>
      </c>
      <c r="B36" s="237" t="s">
        <v>330</v>
      </c>
      <c r="C36" s="27"/>
      <c r="D36" s="27">
        <v>9000000</v>
      </c>
      <c r="E36" s="131"/>
    </row>
    <row r="37" spans="1:5" x14ac:dyDescent="0.25">
      <c r="A37" s="134" t="s">
        <v>331</v>
      </c>
      <c r="B37" s="237" t="s">
        <v>332</v>
      </c>
      <c r="C37" s="27"/>
      <c r="D37" s="27">
        <v>3355655.0000000005</v>
      </c>
      <c r="E37" s="131"/>
    </row>
    <row r="38" spans="1:5" x14ac:dyDescent="0.25">
      <c r="A38" s="134" t="s">
        <v>333</v>
      </c>
      <c r="B38" s="237" t="s">
        <v>334</v>
      </c>
      <c r="C38" s="27"/>
      <c r="D38" s="27">
        <v>2612892</v>
      </c>
      <c r="E38" s="131"/>
    </row>
    <row r="39" spans="1:5" x14ac:dyDescent="0.25">
      <c r="A39" s="134" t="s">
        <v>335</v>
      </c>
      <c r="B39" s="240" t="s">
        <v>336</v>
      </c>
      <c r="C39" s="27"/>
      <c r="D39" s="27">
        <v>4206696</v>
      </c>
      <c r="E39" s="131"/>
    </row>
    <row r="40" spans="1:5" ht="31.5" x14ac:dyDescent="0.25">
      <c r="A40" s="134" t="s">
        <v>337</v>
      </c>
      <c r="B40" s="237" t="s">
        <v>338</v>
      </c>
      <c r="C40" s="27"/>
      <c r="D40" s="27">
        <v>76000</v>
      </c>
      <c r="E40" s="131"/>
    </row>
    <row r="41" spans="1:5" ht="31.5" x14ac:dyDescent="0.25">
      <c r="A41" s="134" t="s">
        <v>339</v>
      </c>
      <c r="B41" s="239" t="s">
        <v>340</v>
      </c>
      <c r="C41" s="27"/>
      <c r="D41" s="27">
        <v>3500000</v>
      </c>
      <c r="E41" s="131"/>
    </row>
    <row r="42" spans="1:5" x14ac:dyDescent="0.25">
      <c r="A42" s="134" t="s">
        <v>341</v>
      </c>
      <c r="B42" s="239" t="s">
        <v>342</v>
      </c>
      <c r="C42" s="27"/>
      <c r="D42" s="27">
        <v>2500000</v>
      </c>
      <c r="E42" s="131"/>
    </row>
    <row r="43" spans="1:5" ht="31.5" x14ac:dyDescent="0.25">
      <c r="A43" s="134" t="s">
        <v>343</v>
      </c>
      <c r="B43" s="239" t="s">
        <v>344</v>
      </c>
      <c r="C43" s="27"/>
      <c r="D43" s="27">
        <v>3000000</v>
      </c>
      <c r="E43" s="131"/>
    </row>
    <row r="44" spans="1:5" ht="31.5" x14ac:dyDescent="0.25">
      <c r="A44" s="134" t="s">
        <v>345</v>
      </c>
      <c r="B44" s="237" t="s">
        <v>346</v>
      </c>
      <c r="C44" s="27"/>
      <c r="D44" s="27">
        <f>(3000+1475-822)/0.001</f>
        <v>3653000</v>
      </c>
      <c r="E44" s="131"/>
    </row>
    <row r="45" spans="1:5" ht="31.5" x14ac:dyDescent="0.25">
      <c r="A45" s="134" t="s">
        <v>347</v>
      </c>
      <c r="B45" s="239" t="s">
        <v>348</v>
      </c>
      <c r="C45" s="27"/>
      <c r="D45" s="27">
        <v>3000000</v>
      </c>
      <c r="E45" s="131"/>
    </row>
    <row r="46" spans="1:5" ht="31.5" x14ac:dyDescent="0.25">
      <c r="A46" s="134" t="s">
        <v>349</v>
      </c>
      <c r="B46" s="237" t="s">
        <v>350</v>
      </c>
      <c r="C46" s="27"/>
      <c r="D46" s="27">
        <v>1500000</v>
      </c>
      <c r="E46" s="131"/>
    </row>
    <row r="47" spans="1:5" x14ac:dyDescent="0.25">
      <c r="A47" s="134" t="s">
        <v>351</v>
      </c>
      <c r="B47" s="237" t="s">
        <v>352</v>
      </c>
      <c r="C47" s="27"/>
      <c r="D47" s="27">
        <v>2400000</v>
      </c>
      <c r="E47" s="131"/>
    </row>
    <row r="48" spans="1:5" ht="31.5" x14ac:dyDescent="0.25">
      <c r="A48" s="134" t="s">
        <v>353</v>
      </c>
      <c r="B48" s="237" t="s">
        <v>354</v>
      </c>
      <c r="C48" s="27"/>
      <c r="D48" s="27">
        <v>700000</v>
      </c>
      <c r="E48" s="131"/>
    </row>
    <row r="49" spans="1:5" x14ac:dyDescent="0.25">
      <c r="A49" s="134" t="s">
        <v>355</v>
      </c>
      <c r="B49" s="237" t="s">
        <v>356</v>
      </c>
      <c r="C49" s="27"/>
      <c r="D49" s="27">
        <v>3000000</v>
      </c>
      <c r="E49" s="131"/>
    </row>
    <row r="50" spans="1:5" x14ac:dyDescent="0.25">
      <c r="A50" s="134" t="s">
        <v>357</v>
      </c>
      <c r="B50" s="237" t="s">
        <v>358</v>
      </c>
      <c r="C50" s="27"/>
      <c r="D50" s="27">
        <v>2200000</v>
      </c>
      <c r="E50" s="131"/>
    </row>
    <row r="51" spans="1:5" x14ac:dyDescent="0.25">
      <c r="A51" s="134" t="s">
        <v>359</v>
      </c>
      <c r="B51" s="239" t="s">
        <v>360</v>
      </c>
      <c r="C51" s="27"/>
      <c r="D51" s="27">
        <v>1000000</v>
      </c>
      <c r="E51" s="131"/>
    </row>
    <row r="52" spans="1:5" x14ac:dyDescent="0.25">
      <c r="A52" s="40">
        <v>8</v>
      </c>
      <c r="B52" s="233" t="s">
        <v>570</v>
      </c>
      <c r="C52" s="231"/>
      <c r="D52" s="232">
        <f>SUM(D53:D62)</f>
        <v>22600000</v>
      </c>
      <c r="E52" s="131"/>
    </row>
    <row r="53" spans="1:5" x14ac:dyDescent="0.25">
      <c r="A53" s="134" t="s">
        <v>107</v>
      </c>
      <c r="B53" s="247" t="s">
        <v>582</v>
      </c>
      <c r="C53" s="27"/>
      <c r="D53" s="27">
        <v>1000000</v>
      </c>
      <c r="E53" s="131"/>
    </row>
    <row r="54" spans="1:5" x14ac:dyDescent="0.25">
      <c r="A54" s="134" t="s">
        <v>123</v>
      </c>
      <c r="B54" s="237" t="s">
        <v>361</v>
      </c>
      <c r="C54" s="27"/>
      <c r="D54" s="27">
        <v>2500000</v>
      </c>
      <c r="E54" s="131"/>
    </row>
    <row r="55" spans="1:5" ht="31.5" x14ac:dyDescent="0.25">
      <c r="A55" s="134" t="s">
        <v>362</v>
      </c>
      <c r="B55" s="237" t="s">
        <v>363</v>
      </c>
      <c r="C55" s="27"/>
      <c r="D55" s="27">
        <v>2000000</v>
      </c>
      <c r="E55" s="131"/>
    </row>
    <row r="56" spans="1:5" x14ac:dyDescent="0.25">
      <c r="A56" s="134" t="s">
        <v>364</v>
      </c>
      <c r="B56" s="244" t="s">
        <v>583</v>
      </c>
      <c r="C56" s="27"/>
      <c r="D56" s="27">
        <v>2500000</v>
      </c>
      <c r="E56" s="131"/>
    </row>
    <row r="57" spans="1:5" ht="31.5" x14ac:dyDescent="0.25">
      <c r="A57" s="134" t="s">
        <v>365</v>
      </c>
      <c r="B57" s="239" t="s">
        <v>366</v>
      </c>
      <c r="C57" s="27"/>
      <c r="D57" s="27">
        <v>2500000</v>
      </c>
      <c r="E57" s="131"/>
    </row>
    <row r="58" spans="1:5" x14ac:dyDescent="0.25">
      <c r="A58" s="134" t="s">
        <v>367</v>
      </c>
      <c r="B58" s="239" t="s">
        <v>368</v>
      </c>
      <c r="C58" s="27"/>
      <c r="D58" s="27">
        <v>1100000</v>
      </c>
      <c r="E58" s="131"/>
    </row>
    <row r="59" spans="1:5" x14ac:dyDescent="0.25">
      <c r="A59" s="134" t="s">
        <v>369</v>
      </c>
      <c r="B59" s="239" t="s">
        <v>584</v>
      </c>
      <c r="C59" s="27"/>
      <c r="D59" s="27">
        <v>3000000</v>
      </c>
      <c r="E59" s="131"/>
    </row>
    <row r="60" spans="1:5" x14ac:dyDescent="0.25">
      <c r="A60" s="134" t="s">
        <v>370</v>
      </c>
      <c r="B60" s="239" t="s">
        <v>371</v>
      </c>
      <c r="C60" s="27"/>
      <c r="D60" s="27">
        <v>3500000</v>
      </c>
      <c r="E60" s="131"/>
    </row>
    <row r="61" spans="1:5" x14ac:dyDescent="0.25">
      <c r="A61" s="134" t="s">
        <v>372</v>
      </c>
      <c r="B61" s="239" t="s">
        <v>373</v>
      </c>
      <c r="C61" s="27"/>
      <c r="D61" s="27">
        <v>2500000</v>
      </c>
      <c r="E61" s="131"/>
    </row>
    <row r="62" spans="1:5" ht="31.5" x14ac:dyDescent="0.25">
      <c r="A62" s="134" t="s">
        <v>374</v>
      </c>
      <c r="B62" s="239" t="s">
        <v>375</v>
      </c>
      <c r="C62" s="27"/>
      <c r="D62" s="27">
        <v>2000000</v>
      </c>
      <c r="E62" s="131"/>
    </row>
    <row r="63" spans="1:5" x14ac:dyDescent="0.25">
      <c r="A63" s="40">
        <v>9</v>
      </c>
      <c r="B63" s="241" t="s">
        <v>376</v>
      </c>
      <c r="C63" s="29"/>
      <c r="D63" s="29">
        <v>2000000</v>
      </c>
      <c r="E63" s="131"/>
    </row>
    <row r="64" spans="1:5" x14ac:dyDescent="0.25">
      <c r="A64" s="41" t="s">
        <v>36</v>
      </c>
      <c r="B64" s="43" t="s">
        <v>62</v>
      </c>
      <c r="C64" s="42">
        <f>C65+C70+C73+C83+C101+C109+C110+C111+C133+C215+C242+C243+C244+C245+C246</f>
        <v>542157000</v>
      </c>
      <c r="D64" s="42">
        <f>D65+D70+D73+D83+D101+D109+D110+D111+D133+D215+D242+D243+D244+D245+D246</f>
        <v>453308000</v>
      </c>
      <c r="E64" s="42">
        <f>E65+E70+E73+E83+E101+E109+E110+E111+E133+E215+E242+E243+E244+E245+E246</f>
        <v>88849000</v>
      </c>
    </row>
    <row r="65" spans="1:5" s="2" customFormat="1" x14ac:dyDescent="0.25">
      <c r="A65" s="44">
        <v>1</v>
      </c>
      <c r="B65" s="45" t="s">
        <v>63</v>
      </c>
      <c r="C65" s="82">
        <f t="shared" ref="C65:C127" si="0">SUM(D65:E65)</f>
        <v>6865000</v>
      </c>
      <c r="D65" s="82">
        <f>SUM(D66:D69)</f>
        <v>1669000</v>
      </c>
      <c r="E65" s="82">
        <v>5196000</v>
      </c>
    </row>
    <row r="66" spans="1:5" s="49" customFormat="1" ht="30" x14ac:dyDescent="0.25">
      <c r="A66" s="46" t="s">
        <v>5</v>
      </c>
      <c r="B66" s="47" t="s">
        <v>64</v>
      </c>
      <c r="C66" s="48">
        <f t="shared" si="0"/>
        <v>996000</v>
      </c>
      <c r="D66" s="48">
        <f>920000+36000+40000</f>
        <v>996000</v>
      </c>
      <c r="E66" s="48"/>
    </row>
    <row r="67" spans="1:5" ht="30" x14ac:dyDescent="0.25">
      <c r="A67" s="46" t="s">
        <v>5</v>
      </c>
      <c r="B67" s="47" t="s">
        <v>65</v>
      </c>
      <c r="C67" s="48">
        <f t="shared" si="0"/>
        <v>154000</v>
      </c>
      <c r="D67" s="48">
        <f>ROUND((80460+68659+4470),-3)</f>
        <v>154000</v>
      </c>
      <c r="E67" s="48"/>
    </row>
    <row r="68" spans="1:5" x14ac:dyDescent="0.25">
      <c r="A68" s="46" t="s">
        <v>5</v>
      </c>
      <c r="B68" s="51" t="s">
        <v>569</v>
      </c>
      <c r="C68" s="50">
        <f t="shared" si="0"/>
        <v>489000</v>
      </c>
      <c r="D68" s="50">
        <f>ROUND((307267+181428),-3)</f>
        <v>489000</v>
      </c>
      <c r="E68" s="50"/>
    </row>
    <row r="69" spans="1:5" x14ac:dyDescent="0.25">
      <c r="A69" s="46" t="s">
        <v>5</v>
      </c>
      <c r="B69" s="51" t="s">
        <v>66</v>
      </c>
      <c r="C69" s="50">
        <f t="shared" si="0"/>
        <v>30000</v>
      </c>
      <c r="D69" s="52">
        <v>30000</v>
      </c>
      <c r="E69" s="50"/>
    </row>
    <row r="70" spans="1:5" s="2" customFormat="1" x14ac:dyDescent="0.25">
      <c r="A70" s="53">
        <v>2</v>
      </c>
      <c r="B70" s="54" t="s">
        <v>67</v>
      </c>
      <c r="C70" s="56">
        <f t="shared" si="0"/>
        <v>2126000</v>
      </c>
      <c r="D70" s="56">
        <f>SUM(D71:D72)</f>
        <v>1086000</v>
      </c>
      <c r="E70" s="56">
        <v>1040000</v>
      </c>
    </row>
    <row r="71" spans="1:5" s="49" customFormat="1" ht="45" x14ac:dyDescent="0.25">
      <c r="A71" s="46" t="s">
        <v>5</v>
      </c>
      <c r="B71" s="47" t="s">
        <v>564</v>
      </c>
      <c r="C71" s="48">
        <f t="shared" si="0"/>
        <v>886000</v>
      </c>
      <c r="D71" s="48">
        <f>850000+36000</f>
        <v>886000</v>
      </c>
      <c r="E71" s="48"/>
    </row>
    <row r="72" spans="1:5" x14ac:dyDescent="0.25">
      <c r="A72" s="55" t="s">
        <v>5</v>
      </c>
      <c r="B72" s="51" t="s">
        <v>68</v>
      </c>
      <c r="C72" s="50">
        <f t="shared" si="0"/>
        <v>200000</v>
      </c>
      <c r="D72" s="50">
        <v>200000</v>
      </c>
      <c r="E72" s="50"/>
    </row>
    <row r="73" spans="1:5" s="2" customFormat="1" x14ac:dyDescent="0.25">
      <c r="A73" s="53">
        <v>3</v>
      </c>
      <c r="B73" s="54" t="s">
        <v>69</v>
      </c>
      <c r="C73" s="56">
        <f t="shared" si="0"/>
        <v>253707000</v>
      </c>
      <c r="D73" s="56">
        <f>D74+D75+D79</f>
        <v>253707000</v>
      </c>
      <c r="E73" s="56"/>
    </row>
    <row r="74" spans="1:5" ht="30" x14ac:dyDescent="0.25">
      <c r="A74" s="46" t="s">
        <v>8</v>
      </c>
      <c r="B74" s="242" t="s">
        <v>461</v>
      </c>
      <c r="C74" s="48">
        <f t="shared" si="0"/>
        <v>248920000</v>
      </c>
      <c r="D74" s="48">
        <f>248509000-7081000+7492000</f>
        <v>248920000</v>
      </c>
      <c r="E74" s="56"/>
    </row>
    <row r="75" spans="1:5" x14ac:dyDescent="0.25">
      <c r="A75" s="46" t="s">
        <v>9</v>
      </c>
      <c r="B75" s="47" t="s">
        <v>70</v>
      </c>
      <c r="C75" s="48">
        <f t="shared" si="0"/>
        <v>3261000</v>
      </c>
      <c r="D75" s="48">
        <f>SUM(D76:D78)</f>
        <v>3261000</v>
      </c>
      <c r="E75" s="50"/>
    </row>
    <row r="76" spans="1:5" x14ac:dyDescent="0.25">
      <c r="A76" s="46" t="s">
        <v>5</v>
      </c>
      <c r="B76" s="47" t="s">
        <v>71</v>
      </c>
      <c r="C76" s="48">
        <f t="shared" si="0"/>
        <v>2474000</v>
      </c>
      <c r="D76" s="48">
        <v>2474000</v>
      </c>
      <c r="E76" s="50"/>
    </row>
    <row r="77" spans="1:5" x14ac:dyDescent="0.25">
      <c r="A77" s="55" t="s">
        <v>5</v>
      </c>
      <c r="B77" s="51" t="s">
        <v>72</v>
      </c>
      <c r="C77" s="50">
        <f t="shared" si="0"/>
        <v>687000</v>
      </c>
      <c r="D77" s="50">
        <f>577000+20*5000*1.1</f>
        <v>687000</v>
      </c>
      <c r="E77" s="50"/>
    </row>
    <row r="78" spans="1:5" x14ac:dyDescent="0.25">
      <c r="A78" s="55" t="s">
        <v>5</v>
      </c>
      <c r="B78" s="51" t="s">
        <v>73</v>
      </c>
      <c r="C78" s="50">
        <f t="shared" si="0"/>
        <v>100000</v>
      </c>
      <c r="D78" s="50">
        <v>100000</v>
      </c>
      <c r="E78" s="50"/>
    </row>
    <row r="79" spans="1:5" x14ac:dyDescent="0.25">
      <c r="A79" s="55" t="s">
        <v>10</v>
      </c>
      <c r="B79" s="51" t="s">
        <v>74</v>
      </c>
      <c r="C79" s="50">
        <f t="shared" si="0"/>
        <v>1526000</v>
      </c>
      <c r="D79" s="50">
        <f>SUM(D80:D82)</f>
        <v>1526000</v>
      </c>
      <c r="E79" s="50"/>
    </row>
    <row r="80" spans="1:5" x14ac:dyDescent="0.25">
      <c r="A80" s="55" t="s">
        <v>5</v>
      </c>
      <c r="B80" s="51" t="s">
        <v>71</v>
      </c>
      <c r="C80" s="50">
        <f t="shared" si="0"/>
        <v>555000</v>
      </c>
      <c r="D80" s="50">
        <v>555000</v>
      </c>
      <c r="E80" s="50"/>
    </row>
    <row r="81" spans="1:5" x14ac:dyDescent="0.25">
      <c r="A81" s="55" t="s">
        <v>5</v>
      </c>
      <c r="B81" s="51" t="s">
        <v>75</v>
      </c>
      <c r="C81" s="50">
        <f t="shared" si="0"/>
        <v>171000</v>
      </c>
      <c r="D81" s="50">
        <f>ROUND((143000+5*5000*1.1),-3)</f>
        <v>171000</v>
      </c>
      <c r="E81" s="50"/>
    </row>
    <row r="82" spans="1:5" x14ac:dyDescent="0.25">
      <c r="A82" s="55" t="s">
        <v>5</v>
      </c>
      <c r="B82" s="47" t="s">
        <v>76</v>
      </c>
      <c r="C82" s="48">
        <f t="shared" si="0"/>
        <v>800000</v>
      </c>
      <c r="D82" s="48">
        <v>800000</v>
      </c>
      <c r="E82" s="48"/>
    </row>
    <row r="83" spans="1:5" s="2" customFormat="1" x14ac:dyDescent="0.25">
      <c r="A83" s="53">
        <v>4</v>
      </c>
      <c r="B83" s="54" t="s">
        <v>77</v>
      </c>
      <c r="C83" s="56">
        <f t="shared" si="0"/>
        <v>18999000</v>
      </c>
      <c r="D83" s="56">
        <f>D85+D87+D98</f>
        <v>18999000</v>
      </c>
      <c r="E83" s="56"/>
    </row>
    <row r="84" spans="1:5" s="2" customFormat="1" x14ac:dyDescent="0.25">
      <c r="A84" s="53"/>
      <c r="B84" s="54" t="s">
        <v>78</v>
      </c>
      <c r="C84" s="56">
        <f t="shared" si="0"/>
        <v>18999000</v>
      </c>
      <c r="D84" s="56">
        <f>D85+D87+D98</f>
        <v>18999000</v>
      </c>
      <c r="E84" s="56"/>
    </row>
    <row r="85" spans="1:5" s="57" customFormat="1" x14ac:dyDescent="0.25">
      <c r="A85" s="46" t="s">
        <v>79</v>
      </c>
      <c r="B85" s="47" t="s">
        <v>80</v>
      </c>
      <c r="C85" s="50">
        <f t="shared" si="0"/>
        <v>2172000</v>
      </c>
      <c r="D85" s="48">
        <f>D86</f>
        <v>2172000</v>
      </c>
      <c r="E85" s="48"/>
    </row>
    <row r="86" spans="1:5" s="58" customFormat="1" ht="45" x14ac:dyDescent="0.25">
      <c r="A86" s="46" t="s">
        <v>5</v>
      </c>
      <c r="B86" s="47" t="s">
        <v>566</v>
      </c>
      <c r="C86" s="48">
        <f t="shared" si="0"/>
        <v>2172000</v>
      </c>
      <c r="D86" s="48">
        <f>2000000+50000+121200+800</f>
        <v>2172000</v>
      </c>
      <c r="E86" s="48"/>
    </row>
    <row r="87" spans="1:5" x14ac:dyDescent="0.25">
      <c r="A87" s="46" t="s">
        <v>81</v>
      </c>
      <c r="B87" s="47" t="s">
        <v>82</v>
      </c>
      <c r="C87" s="50">
        <f t="shared" si="0"/>
        <v>16224000</v>
      </c>
      <c r="D87" s="48">
        <f>D88+D93</f>
        <v>16224000</v>
      </c>
      <c r="E87" s="48"/>
    </row>
    <row r="88" spans="1:5" x14ac:dyDescent="0.25">
      <c r="A88" s="46" t="s">
        <v>83</v>
      </c>
      <c r="B88" s="47" t="s">
        <v>84</v>
      </c>
      <c r="C88" s="50">
        <f t="shared" si="0"/>
        <v>3413000</v>
      </c>
      <c r="D88" s="48">
        <f>SUM(D89:D92)</f>
        <v>3413000</v>
      </c>
      <c r="E88" s="48"/>
    </row>
    <row r="89" spans="1:5" x14ac:dyDescent="0.25">
      <c r="A89" s="46" t="s">
        <v>5</v>
      </c>
      <c r="B89" s="51" t="s">
        <v>71</v>
      </c>
      <c r="C89" s="50">
        <f t="shared" si="0"/>
        <v>2228000</v>
      </c>
      <c r="D89" s="48">
        <v>2228000</v>
      </c>
      <c r="E89" s="50"/>
    </row>
    <row r="90" spans="1:5" x14ac:dyDescent="0.25">
      <c r="A90" s="46" t="s">
        <v>5</v>
      </c>
      <c r="B90" s="47" t="s">
        <v>85</v>
      </c>
      <c r="C90" s="50">
        <f t="shared" si="0"/>
        <v>628000</v>
      </c>
      <c r="D90" s="48">
        <f>ROUND((523000+19*5000*1.1),-3)</f>
        <v>628000</v>
      </c>
      <c r="E90" s="48"/>
    </row>
    <row r="91" spans="1:5" ht="30" x14ac:dyDescent="0.25">
      <c r="A91" s="46" t="s">
        <v>5</v>
      </c>
      <c r="B91" s="47" t="s">
        <v>86</v>
      </c>
      <c r="C91" s="48">
        <f t="shared" si="0"/>
        <v>333000</v>
      </c>
      <c r="D91" s="48">
        <v>333000</v>
      </c>
      <c r="E91" s="48"/>
    </row>
    <row r="92" spans="1:5" ht="30" x14ac:dyDescent="0.25">
      <c r="A92" s="46"/>
      <c r="B92" s="47" t="s">
        <v>87</v>
      </c>
      <c r="C92" s="48">
        <f t="shared" si="0"/>
        <v>224000</v>
      </c>
      <c r="D92" s="48">
        <f>673200/3-400</f>
        <v>224000</v>
      </c>
      <c r="E92" s="48"/>
    </row>
    <row r="93" spans="1:5" x14ac:dyDescent="0.25">
      <c r="A93" s="46" t="s">
        <v>88</v>
      </c>
      <c r="B93" s="47" t="s">
        <v>89</v>
      </c>
      <c r="C93" s="50">
        <f t="shared" si="0"/>
        <v>12811000</v>
      </c>
      <c r="D93" s="48">
        <f>SUM(D94:D97)</f>
        <v>12811000</v>
      </c>
      <c r="E93" s="48"/>
    </row>
    <row r="94" spans="1:5" s="49" customFormat="1" x14ac:dyDescent="0.25">
      <c r="A94" s="46" t="s">
        <v>5</v>
      </c>
      <c r="B94" s="47" t="s">
        <v>90</v>
      </c>
      <c r="C94" s="50">
        <f t="shared" si="0"/>
        <v>9865000</v>
      </c>
      <c r="D94" s="48">
        <f>'[1]Khoi MN CL'!$T$17*1000+'[1]Khoi MN CL'!$T$18*1000</f>
        <v>9865000</v>
      </c>
      <c r="E94" s="48"/>
    </row>
    <row r="95" spans="1:5" s="49" customFormat="1" x14ac:dyDescent="0.25">
      <c r="A95" s="46" t="s">
        <v>5</v>
      </c>
      <c r="B95" s="47" t="s">
        <v>91</v>
      </c>
      <c r="C95" s="50">
        <f t="shared" si="0"/>
        <v>2534000</v>
      </c>
      <c r="D95" s="48">
        <v>2534000</v>
      </c>
      <c r="E95" s="48"/>
    </row>
    <row r="96" spans="1:5" s="49" customFormat="1" ht="30" x14ac:dyDescent="0.25">
      <c r="A96" s="46" t="s">
        <v>5</v>
      </c>
      <c r="B96" s="47" t="s">
        <v>92</v>
      </c>
      <c r="C96" s="48">
        <f t="shared" si="0"/>
        <v>175000</v>
      </c>
      <c r="D96" s="48">
        <v>175000</v>
      </c>
      <c r="E96" s="48"/>
    </row>
    <row r="97" spans="1:5" s="57" customFormat="1" x14ac:dyDescent="0.25">
      <c r="A97" s="59" t="s">
        <v>5</v>
      </c>
      <c r="B97" s="47" t="s">
        <v>93</v>
      </c>
      <c r="C97" s="50">
        <f t="shared" si="0"/>
        <v>237000</v>
      </c>
      <c r="D97" s="48">
        <v>237000</v>
      </c>
      <c r="E97" s="48"/>
    </row>
    <row r="98" spans="1:5" x14ac:dyDescent="0.25">
      <c r="A98" s="46" t="s">
        <v>94</v>
      </c>
      <c r="B98" s="47" t="s">
        <v>95</v>
      </c>
      <c r="C98" s="50">
        <f t="shared" si="0"/>
        <v>603000</v>
      </c>
      <c r="D98" s="48">
        <f>SUM(D99:D100)</f>
        <v>603000</v>
      </c>
      <c r="E98" s="48"/>
    </row>
    <row r="99" spans="1:5" x14ac:dyDescent="0.25">
      <c r="A99" s="46" t="s">
        <v>5</v>
      </c>
      <c r="B99" s="47" t="s">
        <v>96</v>
      </c>
      <c r="C99" s="50">
        <f t="shared" si="0"/>
        <v>432000</v>
      </c>
      <c r="D99" s="48">
        <f>'[1]Khoi MN CL'!$T$15*1000</f>
        <v>432000</v>
      </c>
      <c r="E99" s="48"/>
    </row>
    <row r="100" spans="1:5" s="49" customFormat="1" ht="30" x14ac:dyDescent="0.25">
      <c r="A100" s="46" t="s">
        <v>5</v>
      </c>
      <c r="B100" s="47" t="s">
        <v>97</v>
      </c>
      <c r="C100" s="48">
        <f t="shared" si="0"/>
        <v>171000</v>
      </c>
      <c r="D100" s="48">
        <f>229000+4*5000*1.1-130000+50000</f>
        <v>171000</v>
      </c>
      <c r="E100" s="48"/>
    </row>
    <row r="101" spans="1:5" s="2" customFormat="1" x14ac:dyDescent="0.25">
      <c r="A101" s="53">
        <v>5</v>
      </c>
      <c r="B101" s="54" t="s">
        <v>98</v>
      </c>
      <c r="C101" s="56">
        <f t="shared" si="0"/>
        <v>6117000</v>
      </c>
      <c r="D101" s="56">
        <f>D102</f>
        <v>2948000</v>
      </c>
      <c r="E101" s="73">
        <v>3169000</v>
      </c>
    </row>
    <row r="102" spans="1:5" s="2" customFormat="1" x14ac:dyDescent="0.25">
      <c r="A102" s="53"/>
      <c r="B102" s="54" t="s">
        <v>99</v>
      </c>
      <c r="C102" s="50">
        <f t="shared" si="0"/>
        <v>2948000</v>
      </c>
      <c r="D102" s="56">
        <f>SUM(D103:D108)</f>
        <v>2948000</v>
      </c>
      <c r="E102" s="56"/>
    </row>
    <row r="103" spans="1:5" x14ac:dyDescent="0.25">
      <c r="A103" s="55" t="s">
        <v>5</v>
      </c>
      <c r="B103" s="51" t="s">
        <v>71</v>
      </c>
      <c r="C103" s="50">
        <f t="shared" si="0"/>
        <v>1938000</v>
      </c>
      <c r="D103" s="50">
        <f>'[1]Khoi MN CL'!$T$19*1000</f>
        <v>1938000</v>
      </c>
      <c r="E103" s="50"/>
    </row>
    <row r="104" spans="1:5" x14ac:dyDescent="0.25">
      <c r="A104" s="55" t="s">
        <v>5</v>
      </c>
      <c r="B104" s="51" t="s">
        <v>100</v>
      </c>
      <c r="C104" s="50">
        <f t="shared" si="0"/>
        <v>583000</v>
      </c>
      <c r="D104" s="50">
        <f>ROUND((467000+21*5000*1.1),-3)</f>
        <v>583000</v>
      </c>
      <c r="E104" s="50"/>
    </row>
    <row r="105" spans="1:5" x14ac:dyDescent="0.25">
      <c r="A105" s="55" t="s">
        <v>5</v>
      </c>
      <c r="B105" s="51" t="s">
        <v>101</v>
      </c>
      <c r="C105" s="50">
        <f t="shared" si="0"/>
        <v>95000</v>
      </c>
      <c r="D105" s="50">
        <v>95000</v>
      </c>
      <c r="E105" s="50"/>
    </row>
    <row r="106" spans="1:5" x14ac:dyDescent="0.25">
      <c r="A106" s="55" t="s">
        <v>5</v>
      </c>
      <c r="B106" s="51" t="s">
        <v>102</v>
      </c>
      <c r="C106" s="50">
        <f t="shared" si="0"/>
        <v>225000</v>
      </c>
      <c r="D106" s="50">
        <v>225000</v>
      </c>
      <c r="E106" s="50"/>
    </row>
    <row r="107" spans="1:5" x14ac:dyDescent="0.25">
      <c r="A107" s="55" t="s">
        <v>5</v>
      </c>
      <c r="B107" s="51" t="s">
        <v>103</v>
      </c>
      <c r="C107" s="50">
        <f t="shared" si="0"/>
        <v>50000</v>
      </c>
      <c r="D107" s="50">
        <v>50000</v>
      </c>
      <c r="E107" s="50"/>
    </row>
    <row r="108" spans="1:5" ht="30" x14ac:dyDescent="0.25">
      <c r="A108" s="55" t="s">
        <v>5</v>
      </c>
      <c r="B108" s="47" t="s">
        <v>571</v>
      </c>
      <c r="C108" s="48">
        <f t="shared" si="0"/>
        <v>57000</v>
      </c>
      <c r="D108" s="48">
        <v>57000</v>
      </c>
      <c r="E108" s="48"/>
    </row>
    <row r="109" spans="1:5" s="2" customFormat="1" x14ac:dyDescent="0.25">
      <c r="A109" s="53">
        <v>6</v>
      </c>
      <c r="B109" s="54" t="s">
        <v>104</v>
      </c>
      <c r="C109" s="56">
        <f t="shared" si="0"/>
        <v>225000</v>
      </c>
      <c r="D109" s="56">
        <v>225000</v>
      </c>
      <c r="E109" s="56"/>
    </row>
    <row r="110" spans="1:5" s="2" customFormat="1" x14ac:dyDescent="0.25">
      <c r="A110" s="53">
        <v>7</v>
      </c>
      <c r="B110" s="54" t="s">
        <v>105</v>
      </c>
      <c r="C110" s="56">
        <f t="shared" si="0"/>
        <v>4390000</v>
      </c>
      <c r="D110" s="56">
        <v>3500000</v>
      </c>
      <c r="E110" s="56">
        <v>890000</v>
      </c>
    </row>
    <row r="111" spans="1:5" s="2" customFormat="1" x14ac:dyDescent="0.25">
      <c r="A111" s="53">
        <v>8</v>
      </c>
      <c r="B111" s="54" t="s">
        <v>106</v>
      </c>
      <c r="C111" s="56">
        <f t="shared" si="0"/>
        <v>86870000</v>
      </c>
      <c r="D111" s="56">
        <f>D112+D129</f>
        <v>77563000</v>
      </c>
      <c r="E111" s="73">
        <v>9307000</v>
      </c>
    </row>
    <row r="112" spans="1:5" s="63" customFormat="1" x14ac:dyDescent="0.25">
      <c r="A112" s="60" t="s">
        <v>107</v>
      </c>
      <c r="B112" s="61" t="s">
        <v>108</v>
      </c>
      <c r="C112" s="70">
        <f t="shared" si="0"/>
        <v>76368000</v>
      </c>
      <c r="D112" s="62">
        <f>D113+D114+D115+D116+D117+D118+D121+D122+D123+D124+D125+D126+D127+D128</f>
        <v>76368000</v>
      </c>
      <c r="E112" s="70"/>
    </row>
    <row r="113" spans="1:5" x14ac:dyDescent="0.25">
      <c r="A113" s="55" t="s">
        <v>5</v>
      </c>
      <c r="B113" s="51" t="s">
        <v>109</v>
      </c>
      <c r="C113" s="50">
        <f t="shared" si="0"/>
        <v>60000</v>
      </c>
      <c r="D113" s="48">
        <v>60000</v>
      </c>
      <c r="E113" s="50"/>
    </row>
    <row r="114" spans="1:5" x14ac:dyDescent="0.25">
      <c r="A114" s="55" t="s">
        <v>5</v>
      </c>
      <c r="B114" s="51" t="s">
        <v>110</v>
      </c>
      <c r="C114" s="50">
        <f t="shared" si="0"/>
        <v>90000</v>
      </c>
      <c r="D114" s="48">
        <v>90000</v>
      </c>
      <c r="E114" s="50"/>
    </row>
    <row r="115" spans="1:5" x14ac:dyDescent="0.25">
      <c r="A115" s="55" t="s">
        <v>5</v>
      </c>
      <c r="B115" s="51" t="s">
        <v>111</v>
      </c>
      <c r="C115" s="50">
        <f t="shared" si="0"/>
        <v>150000</v>
      </c>
      <c r="D115" s="48">
        <v>150000</v>
      </c>
      <c r="E115" s="50"/>
    </row>
    <row r="116" spans="1:5" x14ac:dyDescent="0.25">
      <c r="A116" s="55" t="s">
        <v>5</v>
      </c>
      <c r="B116" s="51" t="s">
        <v>567</v>
      </c>
      <c r="C116" s="50">
        <f t="shared" si="0"/>
        <v>180000</v>
      </c>
      <c r="D116" s="48">
        <f>80000+100000</f>
        <v>180000</v>
      </c>
      <c r="E116" s="50"/>
    </row>
    <row r="117" spans="1:5" x14ac:dyDescent="0.25">
      <c r="A117" s="55" t="s">
        <v>5</v>
      </c>
      <c r="B117" s="51" t="s">
        <v>112</v>
      </c>
      <c r="C117" s="50">
        <f t="shared" si="0"/>
        <v>80000</v>
      </c>
      <c r="D117" s="48">
        <v>80000</v>
      </c>
      <c r="E117" s="50"/>
    </row>
    <row r="118" spans="1:5" x14ac:dyDescent="0.25">
      <c r="A118" s="55" t="s">
        <v>5</v>
      </c>
      <c r="B118" s="51" t="s">
        <v>113</v>
      </c>
      <c r="C118" s="50">
        <f t="shared" si="0"/>
        <v>950000</v>
      </c>
      <c r="D118" s="48">
        <f>SUM(D119:D120)</f>
        <v>950000</v>
      </c>
      <c r="E118" s="50"/>
    </row>
    <row r="119" spans="1:5" s="67" customFormat="1" x14ac:dyDescent="0.25">
      <c r="A119" s="64" t="s">
        <v>19</v>
      </c>
      <c r="B119" s="65" t="s">
        <v>114</v>
      </c>
      <c r="C119" s="50">
        <f t="shared" si="0"/>
        <v>150000</v>
      </c>
      <c r="D119" s="66">
        <v>150000</v>
      </c>
      <c r="E119" s="83"/>
    </row>
    <row r="120" spans="1:5" s="67" customFormat="1" ht="45" x14ac:dyDescent="0.25">
      <c r="A120" s="64" t="s">
        <v>19</v>
      </c>
      <c r="B120" s="68" t="s">
        <v>115</v>
      </c>
      <c r="C120" s="66">
        <f t="shared" si="0"/>
        <v>800000</v>
      </c>
      <c r="D120" s="66">
        <f>400000+400000</f>
        <v>800000</v>
      </c>
      <c r="E120" s="66"/>
    </row>
    <row r="121" spans="1:5" x14ac:dyDescent="0.25">
      <c r="A121" s="55" t="s">
        <v>5</v>
      </c>
      <c r="B121" s="51" t="s">
        <v>116</v>
      </c>
      <c r="C121" s="50">
        <f t="shared" si="0"/>
        <v>70000</v>
      </c>
      <c r="D121" s="48">
        <v>70000</v>
      </c>
      <c r="E121" s="50"/>
    </row>
    <row r="122" spans="1:5" x14ac:dyDescent="0.25">
      <c r="A122" s="55" t="s">
        <v>5</v>
      </c>
      <c r="B122" s="51" t="s">
        <v>117</v>
      </c>
      <c r="C122" s="50">
        <f t="shared" si="0"/>
        <v>80000</v>
      </c>
      <c r="D122" s="48">
        <v>80000</v>
      </c>
      <c r="E122" s="50"/>
    </row>
    <row r="123" spans="1:5" x14ac:dyDescent="0.25">
      <c r="A123" s="55" t="s">
        <v>5</v>
      </c>
      <c r="B123" s="51" t="s">
        <v>118</v>
      </c>
      <c r="C123" s="50">
        <f t="shared" si="0"/>
        <v>520000</v>
      </c>
      <c r="D123" s="48">
        <v>520000</v>
      </c>
      <c r="E123" s="50"/>
    </row>
    <row r="124" spans="1:5" x14ac:dyDescent="0.25">
      <c r="A124" s="55" t="s">
        <v>5</v>
      </c>
      <c r="B124" s="51" t="s">
        <v>119</v>
      </c>
      <c r="C124" s="50">
        <f t="shared" si="0"/>
        <v>1883000</v>
      </c>
      <c r="D124" s="48">
        <f>2173000-290000</f>
        <v>1883000</v>
      </c>
      <c r="E124" s="50"/>
    </row>
    <row r="125" spans="1:5" x14ac:dyDescent="0.25">
      <c r="A125" s="55" t="s">
        <v>5</v>
      </c>
      <c r="B125" s="51" t="s">
        <v>120</v>
      </c>
      <c r="C125" s="50">
        <f t="shared" si="0"/>
        <v>2815000</v>
      </c>
      <c r="D125" s="48">
        <f>2930000-115000</f>
        <v>2815000</v>
      </c>
      <c r="E125" s="50"/>
    </row>
    <row r="126" spans="1:5" s="34" customFormat="1" ht="30" x14ac:dyDescent="0.25">
      <c r="A126" s="55" t="s">
        <v>5</v>
      </c>
      <c r="B126" s="47" t="s">
        <v>121</v>
      </c>
      <c r="C126" s="48">
        <f t="shared" si="0"/>
        <v>14872000</v>
      </c>
      <c r="D126" s="48">
        <f>5000000+3000000+5000000+5000000-4000000+872000</f>
        <v>14872000</v>
      </c>
      <c r="E126" s="48"/>
    </row>
    <row r="127" spans="1:5" ht="45" x14ac:dyDescent="0.25">
      <c r="A127" s="46" t="s">
        <v>5</v>
      </c>
      <c r="B127" s="47" t="s">
        <v>580</v>
      </c>
      <c r="C127" s="48">
        <f t="shared" si="0"/>
        <v>53118000</v>
      </c>
      <c r="D127" s="48">
        <v>53118000</v>
      </c>
      <c r="E127" s="48"/>
    </row>
    <row r="128" spans="1:5" s="49" customFormat="1" x14ac:dyDescent="0.25">
      <c r="A128" s="46" t="s">
        <v>5</v>
      </c>
      <c r="B128" s="47" t="s">
        <v>122</v>
      </c>
      <c r="C128" s="50">
        <f t="shared" ref="C128:C188" si="1">SUM(D128:E128)</f>
        <v>1500000</v>
      </c>
      <c r="D128" s="48">
        <v>1500000</v>
      </c>
      <c r="E128" s="48"/>
    </row>
    <row r="129" spans="1:5" s="63" customFormat="1" x14ac:dyDescent="0.25">
      <c r="A129" s="60" t="s">
        <v>123</v>
      </c>
      <c r="B129" s="61" t="s">
        <v>124</v>
      </c>
      <c r="C129" s="70">
        <f t="shared" si="1"/>
        <v>1195000</v>
      </c>
      <c r="D129" s="62">
        <f>SUM(D130:D132)</f>
        <v>1195000</v>
      </c>
      <c r="E129" s="70"/>
    </row>
    <row r="130" spans="1:5" x14ac:dyDescent="0.25">
      <c r="A130" s="55" t="s">
        <v>5</v>
      </c>
      <c r="B130" s="51" t="s">
        <v>125</v>
      </c>
      <c r="C130" s="50">
        <f t="shared" si="1"/>
        <v>742000</v>
      </c>
      <c r="D130" s="48">
        <f>'[1]Khoi MN CL'!$T$20*1000</f>
        <v>742000</v>
      </c>
      <c r="E130" s="50"/>
    </row>
    <row r="131" spans="1:5" x14ac:dyDescent="0.25">
      <c r="A131" s="55" t="s">
        <v>5</v>
      </c>
      <c r="B131" s="51" t="s">
        <v>126</v>
      </c>
      <c r="C131" s="50">
        <f t="shared" si="1"/>
        <v>182000</v>
      </c>
      <c r="D131" s="50">
        <v>182000</v>
      </c>
      <c r="E131" s="50"/>
    </row>
    <row r="132" spans="1:5" ht="30" x14ac:dyDescent="0.25">
      <c r="A132" s="55" t="s">
        <v>5</v>
      </c>
      <c r="B132" s="47" t="s">
        <v>578</v>
      </c>
      <c r="C132" s="48">
        <f t="shared" si="1"/>
        <v>271000</v>
      </c>
      <c r="D132" s="48">
        <v>271000</v>
      </c>
      <c r="E132" s="48"/>
    </row>
    <row r="133" spans="1:5" s="2" customFormat="1" x14ac:dyDescent="0.25">
      <c r="A133" s="53">
        <v>9</v>
      </c>
      <c r="B133" s="54" t="s">
        <v>127</v>
      </c>
      <c r="C133" s="56">
        <f t="shared" si="1"/>
        <v>106454000</v>
      </c>
      <c r="D133" s="56">
        <f>D134+D159+D187</f>
        <v>42698000</v>
      </c>
      <c r="E133" s="73">
        <v>63756000</v>
      </c>
    </row>
    <row r="134" spans="1:5" x14ac:dyDescent="0.25">
      <c r="A134" s="60" t="s">
        <v>128</v>
      </c>
      <c r="B134" s="69" t="s">
        <v>129</v>
      </c>
      <c r="C134" s="70">
        <f t="shared" si="1"/>
        <v>21760000</v>
      </c>
      <c r="D134" s="62">
        <f>D135+D140</f>
        <v>21760000</v>
      </c>
      <c r="E134" s="62"/>
    </row>
    <row r="135" spans="1:5" x14ac:dyDescent="0.25">
      <c r="A135" s="60" t="s">
        <v>5</v>
      </c>
      <c r="B135" s="69" t="s">
        <v>130</v>
      </c>
      <c r="C135" s="70">
        <f t="shared" si="1"/>
        <v>2345000</v>
      </c>
      <c r="D135" s="62">
        <f>SUM(D136:D139)</f>
        <v>2345000</v>
      </c>
      <c r="E135" s="62"/>
    </row>
    <row r="136" spans="1:5" x14ac:dyDescent="0.25">
      <c r="A136" s="55" t="s">
        <v>19</v>
      </c>
      <c r="B136" s="51" t="s">
        <v>71</v>
      </c>
      <c r="C136" s="50">
        <f t="shared" si="1"/>
        <v>438000</v>
      </c>
      <c r="D136" s="48">
        <v>438000</v>
      </c>
      <c r="E136" s="50"/>
    </row>
    <row r="137" spans="1:5" x14ac:dyDescent="0.25">
      <c r="A137" s="55" t="s">
        <v>19</v>
      </c>
      <c r="B137" s="47" t="s">
        <v>75</v>
      </c>
      <c r="C137" s="50">
        <f t="shared" si="1"/>
        <v>144000</v>
      </c>
      <c r="D137" s="48">
        <f>ROUND((143667),-3)</f>
        <v>144000</v>
      </c>
      <c r="E137" s="48"/>
    </row>
    <row r="138" spans="1:5" s="49" customFormat="1" x14ac:dyDescent="0.25">
      <c r="A138" s="46" t="s">
        <v>19</v>
      </c>
      <c r="B138" s="47" t="s">
        <v>131</v>
      </c>
      <c r="C138" s="48">
        <f t="shared" si="1"/>
        <v>222000</v>
      </c>
      <c r="D138" s="48">
        <f>ROUND((12.4*1490*12),-3)</f>
        <v>222000</v>
      </c>
      <c r="E138" s="48"/>
    </row>
    <row r="139" spans="1:5" ht="45" x14ac:dyDescent="0.25">
      <c r="A139" s="55" t="s">
        <v>19</v>
      </c>
      <c r="B139" s="47" t="s">
        <v>572</v>
      </c>
      <c r="C139" s="48">
        <f t="shared" si="1"/>
        <v>1541000</v>
      </c>
      <c r="D139" s="48">
        <v>1541000</v>
      </c>
      <c r="E139" s="48"/>
    </row>
    <row r="140" spans="1:5" x14ac:dyDescent="0.25">
      <c r="A140" s="60" t="s">
        <v>5</v>
      </c>
      <c r="B140" s="69" t="s">
        <v>132</v>
      </c>
      <c r="C140" s="70">
        <f t="shared" si="1"/>
        <v>19415000</v>
      </c>
      <c r="D140" s="62">
        <f>SUM(D141:D158)</f>
        <v>19415000</v>
      </c>
      <c r="E140" s="62"/>
    </row>
    <row r="141" spans="1:5" x14ac:dyDescent="0.25">
      <c r="A141" s="55" t="s">
        <v>19</v>
      </c>
      <c r="B141" s="47" t="s">
        <v>133</v>
      </c>
      <c r="C141" s="50">
        <f t="shared" si="1"/>
        <v>7164000</v>
      </c>
      <c r="D141" s="48">
        <f>7164000</f>
        <v>7164000</v>
      </c>
      <c r="E141" s="48"/>
    </row>
    <row r="142" spans="1:5" x14ac:dyDescent="0.25">
      <c r="A142" s="55" t="s">
        <v>19</v>
      </c>
      <c r="B142" s="47" t="s">
        <v>573</v>
      </c>
      <c r="C142" s="50">
        <f t="shared" si="1"/>
        <v>310000</v>
      </c>
      <c r="D142" s="48">
        <f>ROUND((6*2.34*1490*12*1.235),-3)</f>
        <v>310000</v>
      </c>
      <c r="E142" s="48"/>
    </row>
    <row r="143" spans="1:5" x14ac:dyDescent="0.25">
      <c r="A143" s="55" t="s">
        <v>19</v>
      </c>
      <c r="B143" s="47" t="s">
        <v>135</v>
      </c>
      <c r="C143" s="50">
        <f t="shared" si="1"/>
        <v>2510000</v>
      </c>
      <c r="D143" s="48">
        <f>ROUND((2457487+158000/75*25),-3)</f>
        <v>2510000</v>
      </c>
      <c r="E143" s="48"/>
    </row>
    <row r="144" spans="1:5" ht="30" x14ac:dyDescent="0.25">
      <c r="A144" s="55" t="s">
        <v>19</v>
      </c>
      <c r="B144" s="47" t="s">
        <v>136</v>
      </c>
      <c r="C144" s="50">
        <f t="shared" si="1"/>
        <v>24000</v>
      </c>
      <c r="D144" s="48">
        <v>24000</v>
      </c>
      <c r="E144" s="48"/>
    </row>
    <row r="145" spans="1:5" x14ac:dyDescent="0.25">
      <c r="A145" s="55" t="s">
        <v>19</v>
      </c>
      <c r="B145" s="47" t="s">
        <v>137</v>
      </c>
      <c r="C145" s="50">
        <f t="shared" si="1"/>
        <v>11000</v>
      </c>
      <c r="D145" s="48">
        <v>11000</v>
      </c>
      <c r="E145" s="48"/>
    </row>
    <row r="146" spans="1:5" x14ac:dyDescent="0.25">
      <c r="A146" s="55" t="s">
        <v>19</v>
      </c>
      <c r="B146" s="47" t="s">
        <v>138</v>
      </c>
      <c r="C146" s="50">
        <f t="shared" si="1"/>
        <v>250000</v>
      </c>
      <c r="D146" s="48">
        <v>250000</v>
      </c>
      <c r="E146" s="48"/>
    </row>
    <row r="147" spans="1:5" ht="30" x14ac:dyDescent="0.25">
      <c r="A147" s="55" t="s">
        <v>19</v>
      </c>
      <c r="B147" s="47" t="s">
        <v>574</v>
      </c>
      <c r="C147" s="50">
        <f t="shared" si="1"/>
        <v>6663000</v>
      </c>
      <c r="D147" s="48">
        <f>ROUND((1732000+4221800+30000+30000+67*7000+200+174960-2000+7000),-3)</f>
        <v>6663000</v>
      </c>
      <c r="E147" s="48"/>
    </row>
    <row r="148" spans="1:5" x14ac:dyDescent="0.25">
      <c r="A148" s="55" t="s">
        <v>19</v>
      </c>
      <c r="B148" s="47" t="s">
        <v>139</v>
      </c>
      <c r="C148" s="50">
        <f t="shared" si="1"/>
        <v>200000</v>
      </c>
      <c r="D148" s="48">
        <v>200000</v>
      </c>
      <c r="E148" s="48"/>
    </row>
    <row r="149" spans="1:5" ht="30" x14ac:dyDescent="0.25">
      <c r="A149" s="55" t="s">
        <v>19</v>
      </c>
      <c r="B149" s="47" t="s">
        <v>140</v>
      </c>
      <c r="C149" s="50">
        <f t="shared" si="1"/>
        <v>140000</v>
      </c>
      <c r="D149" s="48">
        <v>140000</v>
      </c>
      <c r="E149" s="48"/>
    </row>
    <row r="150" spans="1:5" ht="30" x14ac:dyDescent="0.25">
      <c r="A150" s="55" t="s">
        <v>19</v>
      </c>
      <c r="B150" s="47" t="s">
        <v>141</v>
      </c>
      <c r="C150" s="50">
        <f t="shared" si="1"/>
        <v>98000</v>
      </c>
      <c r="D150" s="48">
        <f>80000+18000</f>
        <v>98000</v>
      </c>
      <c r="E150" s="48"/>
    </row>
    <row r="151" spans="1:5" x14ac:dyDescent="0.25">
      <c r="A151" s="55" t="s">
        <v>19</v>
      </c>
      <c r="B151" s="51" t="s">
        <v>142</v>
      </c>
      <c r="C151" s="50">
        <f t="shared" si="1"/>
        <v>300000</v>
      </c>
      <c r="D151" s="50">
        <v>300000</v>
      </c>
      <c r="E151" s="50"/>
    </row>
    <row r="152" spans="1:5" ht="30" x14ac:dyDescent="0.25">
      <c r="A152" s="55" t="s">
        <v>19</v>
      </c>
      <c r="B152" s="47" t="s">
        <v>143</v>
      </c>
      <c r="C152" s="50">
        <f t="shared" si="1"/>
        <v>250000</v>
      </c>
      <c r="D152" s="50">
        <v>250000</v>
      </c>
      <c r="E152" s="50"/>
    </row>
    <row r="153" spans="1:5" s="49" customFormat="1" ht="30" x14ac:dyDescent="0.25">
      <c r="A153" s="46" t="s">
        <v>19</v>
      </c>
      <c r="B153" s="47" t="s">
        <v>144</v>
      </c>
      <c r="C153" s="50">
        <f t="shared" si="1"/>
        <v>80000</v>
      </c>
      <c r="D153" s="48">
        <v>80000</v>
      </c>
      <c r="E153" s="48"/>
    </row>
    <row r="154" spans="1:5" x14ac:dyDescent="0.25">
      <c r="A154" s="55" t="s">
        <v>19</v>
      </c>
      <c r="B154" s="51" t="s">
        <v>145</v>
      </c>
      <c r="C154" s="50">
        <f t="shared" si="1"/>
        <v>30000</v>
      </c>
      <c r="D154" s="50">
        <v>30000</v>
      </c>
      <c r="E154" s="50"/>
    </row>
    <row r="155" spans="1:5" x14ac:dyDescent="0.25">
      <c r="A155" s="55" t="s">
        <v>19</v>
      </c>
      <c r="B155" s="51" t="s">
        <v>146</v>
      </c>
      <c r="C155" s="50">
        <f t="shared" si="1"/>
        <v>140000</v>
      </c>
      <c r="D155" s="50">
        <v>140000</v>
      </c>
      <c r="E155" s="50"/>
    </row>
    <row r="156" spans="1:5" x14ac:dyDescent="0.25">
      <c r="A156" s="55" t="s">
        <v>19</v>
      </c>
      <c r="B156" s="51" t="s">
        <v>147</v>
      </c>
      <c r="C156" s="50">
        <f t="shared" si="1"/>
        <v>250000</v>
      </c>
      <c r="D156" s="50">
        <v>250000</v>
      </c>
      <c r="E156" s="50"/>
    </row>
    <row r="157" spans="1:5" x14ac:dyDescent="0.25">
      <c r="A157" s="55" t="s">
        <v>19</v>
      </c>
      <c r="B157" s="51" t="s">
        <v>148</v>
      </c>
      <c r="C157" s="50">
        <f t="shared" si="1"/>
        <v>45000</v>
      </c>
      <c r="D157" s="50">
        <v>45000</v>
      </c>
      <c r="E157" s="50"/>
    </row>
    <row r="158" spans="1:5" x14ac:dyDescent="0.25">
      <c r="A158" s="55" t="s">
        <v>19</v>
      </c>
      <c r="B158" s="51" t="s">
        <v>149</v>
      </c>
      <c r="C158" s="50">
        <f t="shared" si="1"/>
        <v>950000</v>
      </c>
      <c r="D158" s="50">
        <v>950000</v>
      </c>
      <c r="E158" s="50"/>
    </row>
    <row r="159" spans="1:5" x14ac:dyDescent="0.25">
      <c r="A159" s="60" t="s">
        <v>150</v>
      </c>
      <c r="B159" s="61" t="s">
        <v>151</v>
      </c>
      <c r="C159" s="70">
        <f t="shared" si="1"/>
        <v>15632000</v>
      </c>
      <c r="D159" s="70">
        <f>D160+D184</f>
        <v>15632000</v>
      </c>
      <c r="E159" s="70"/>
    </row>
    <row r="160" spans="1:5" x14ac:dyDescent="0.25">
      <c r="A160" s="60" t="s">
        <v>60</v>
      </c>
      <c r="B160" s="61" t="s">
        <v>152</v>
      </c>
      <c r="C160" s="70">
        <f t="shared" si="1"/>
        <v>15251000</v>
      </c>
      <c r="D160" s="70">
        <f>SUM(D161:D183)-D162-D164-D163</f>
        <v>15251000</v>
      </c>
      <c r="E160" s="70"/>
    </row>
    <row r="161" spans="1:5" x14ac:dyDescent="0.25">
      <c r="A161" s="55" t="s">
        <v>5</v>
      </c>
      <c r="B161" s="51" t="s">
        <v>153</v>
      </c>
      <c r="C161" s="50">
        <f t="shared" si="1"/>
        <v>5768000</v>
      </c>
      <c r="D161" s="50">
        <f>SUM(D162:D164)</f>
        <v>5768000</v>
      </c>
      <c r="E161" s="50"/>
    </row>
    <row r="162" spans="1:5" s="37" customFormat="1" x14ac:dyDescent="0.25">
      <c r="A162" s="55" t="s">
        <v>19</v>
      </c>
      <c r="B162" s="51" t="s">
        <v>71</v>
      </c>
      <c r="C162" s="50">
        <f t="shared" si="1"/>
        <v>4309000</v>
      </c>
      <c r="D162" s="50">
        <f>ROUND((4308929),-3)</f>
        <v>4309000</v>
      </c>
      <c r="E162" s="50"/>
    </row>
    <row r="163" spans="1:5" s="37" customFormat="1" x14ac:dyDescent="0.25">
      <c r="A163" s="55" t="s">
        <v>19</v>
      </c>
      <c r="B163" s="51" t="s">
        <v>575</v>
      </c>
      <c r="C163" s="50">
        <f t="shared" si="1"/>
        <v>93000</v>
      </c>
      <c r="D163" s="50">
        <f>ROUND((92673),-3)</f>
        <v>93000</v>
      </c>
      <c r="E163" s="50"/>
    </row>
    <row r="164" spans="1:5" s="37" customFormat="1" x14ac:dyDescent="0.25">
      <c r="A164" s="55" t="s">
        <v>19</v>
      </c>
      <c r="B164" s="51" t="s">
        <v>75</v>
      </c>
      <c r="C164" s="50">
        <f t="shared" si="1"/>
        <v>1366000</v>
      </c>
      <c r="D164" s="48">
        <v>1366000</v>
      </c>
      <c r="E164" s="50"/>
    </row>
    <row r="165" spans="1:5" s="37" customFormat="1" x14ac:dyDescent="0.25">
      <c r="A165" s="55" t="s">
        <v>5</v>
      </c>
      <c r="B165" s="51" t="s">
        <v>154</v>
      </c>
      <c r="C165" s="50">
        <f t="shared" si="1"/>
        <v>265000</v>
      </c>
      <c r="D165" s="48">
        <v>265000</v>
      </c>
      <c r="E165" s="50"/>
    </row>
    <row r="166" spans="1:5" s="37" customFormat="1" x14ac:dyDescent="0.25">
      <c r="A166" s="55" t="s">
        <v>5</v>
      </c>
      <c r="B166" s="51" t="s">
        <v>155</v>
      </c>
      <c r="C166" s="50">
        <f t="shared" si="1"/>
        <v>31000</v>
      </c>
      <c r="D166" s="48">
        <v>31000</v>
      </c>
      <c r="E166" s="50"/>
    </row>
    <row r="167" spans="1:5" s="37" customFormat="1" x14ac:dyDescent="0.25">
      <c r="A167" s="55" t="s">
        <v>5</v>
      </c>
      <c r="B167" s="47" t="s">
        <v>156</v>
      </c>
      <c r="C167" s="50">
        <f t="shared" si="1"/>
        <v>89000</v>
      </c>
      <c r="D167" s="48">
        <v>89000</v>
      </c>
      <c r="E167" s="48"/>
    </row>
    <row r="168" spans="1:5" s="37" customFormat="1" x14ac:dyDescent="0.25">
      <c r="A168" s="55" t="s">
        <v>5</v>
      </c>
      <c r="B168" s="47" t="s">
        <v>157</v>
      </c>
      <c r="C168" s="50">
        <f t="shared" si="1"/>
        <v>68000</v>
      </c>
      <c r="D168" s="48">
        <v>68000</v>
      </c>
      <c r="E168" s="48"/>
    </row>
    <row r="169" spans="1:5" s="37" customFormat="1" ht="30" x14ac:dyDescent="0.25">
      <c r="A169" s="64" t="s">
        <v>5</v>
      </c>
      <c r="B169" s="47" t="s">
        <v>158</v>
      </c>
      <c r="C169" s="48">
        <f t="shared" si="1"/>
        <v>104000</v>
      </c>
      <c r="D169" s="48">
        <v>104000</v>
      </c>
      <c r="E169" s="48"/>
    </row>
    <row r="170" spans="1:5" s="37" customFormat="1" ht="30" x14ac:dyDescent="0.25">
      <c r="A170" s="64" t="s">
        <v>5</v>
      </c>
      <c r="B170" s="47" t="s">
        <v>159</v>
      </c>
      <c r="C170" s="48">
        <f t="shared" si="1"/>
        <v>447000</v>
      </c>
      <c r="D170" s="48">
        <v>447000</v>
      </c>
      <c r="E170" s="48"/>
    </row>
    <row r="171" spans="1:5" s="37" customFormat="1" x14ac:dyDescent="0.25">
      <c r="A171" s="64" t="s">
        <v>5</v>
      </c>
      <c r="B171" s="47" t="s">
        <v>160</v>
      </c>
      <c r="C171" s="50">
        <f t="shared" si="1"/>
        <v>15000</v>
      </c>
      <c r="D171" s="48">
        <v>15000</v>
      </c>
      <c r="E171" s="48"/>
    </row>
    <row r="172" spans="1:5" s="37" customFormat="1" x14ac:dyDescent="0.25">
      <c r="A172" s="64"/>
      <c r="B172" s="47" t="s">
        <v>161</v>
      </c>
      <c r="C172" s="50">
        <f t="shared" si="1"/>
        <v>6169000</v>
      </c>
      <c r="D172" s="48">
        <f>5834000-388000+388000+335000</f>
        <v>6169000</v>
      </c>
      <c r="E172" s="48"/>
    </row>
    <row r="173" spans="1:5" s="37" customFormat="1" ht="30" x14ac:dyDescent="0.25">
      <c r="A173" s="64" t="s">
        <v>5</v>
      </c>
      <c r="B173" s="47" t="s">
        <v>162</v>
      </c>
      <c r="C173" s="48">
        <f t="shared" si="1"/>
        <v>50000</v>
      </c>
      <c r="D173" s="48">
        <v>50000</v>
      </c>
      <c r="E173" s="48"/>
    </row>
    <row r="174" spans="1:5" s="37" customFormat="1" x14ac:dyDescent="0.25">
      <c r="A174" s="64" t="s">
        <v>5</v>
      </c>
      <c r="B174" s="47" t="s">
        <v>163</v>
      </c>
      <c r="C174" s="50">
        <f t="shared" si="1"/>
        <v>200000</v>
      </c>
      <c r="D174" s="48">
        <v>200000</v>
      </c>
      <c r="E174" s="48"/>
    </row>
    <row r="175" spans="1:5" s="37" customFormat="1" x14ac:dyDescent="0.25">
      <c r="A175" s="55" t="s">
        <v>5</v>
      </c>
      <c r="B175" s="47" t="s">
        <v>164</v>
      </c>
      <c r="C175" s="50">
        <f t="shared" si="1"/>
        <v>200000</v>
      </c>
      <c r="D175" s="48">
        <v>200000</v>
      </c>
      <c r="E175" s="48"/>
    </row>
    <row r="176" spans="1:5" s="37" customFormat="1" x14ac:dyDescent="0.25">
      <c r="A176" s="55" t="s">
        <v>5</v>
      </c>
      <c r="B176" s="47" t="s">
        <v>165</v>
      </c>
      <c r="C176" s="50">
        <f t="shared" si="1"/>
        <v>90000</v>
      </c>
      <c r="D176" s="48">
        <f>30000+60000</f>
        <v>90000</v>
      </c>
      <c r="E176" s="48"/>
    </row>
    <row r="177" spans="1:5" s="37" customFormat="1" x14ac:dyDescent="0.25">
      <c r="A177" s="55" t="s">
        <v>5</v>
      </c>
      <c r="B177" s="47" t="s">
        <v>166</v>
      </c>
      <c r="C177" s="50">
        <f t="shared" si="1"/>
        <v>100000</v>
      </c>
      <c r="D177" s="48">
        <v>100000</v>
      </c>
      <c r="E177" s="48"/>
    </row>
    <row r="178" spans="1:5" s="37" customFormat="1" ht="30" x14ac:dyDescent="0.25">
      <c r="A178" s="64" t="s">
        <v>5</v>
      </c>
      <c r="B178" s="47" t="s">
        <v>167</v>
      </c>
      <c r="C178" s="50">
        <f t="shared" si="1"/>
        <v>100000</v>
      </c>
      <c r="D178" s="48">
        <v>100000</v>
      </c>
      <c r="E178" s="48"/>
    </row>
    <row r="179" spans="1:5" s="37" customFormat="1" x14ac:dyDescent="0.25">
      <c r="A179" s="55" t="s">
        <v>5</v>
      </c>
      <c r="B179" s="47" t="s">
        <v>168</v>
      </c>
      <c r="C179" s="50">
        <f t="shared" si="1"/>
        <v>800000</v>
      </c>
      <c r="D179" s="48">
        <f>500000+200000+50000+50000</f>
        <v>800000</v>
      </c>
      <c r="E179" s="48"/>
    </row>
    <row r="180" spans="1:5" s="37" customFormat="1" ht="60" x14ac:dyDescent="0.25">
      <c r="A180" s="55" t="s">
        <v>5</v>
      </c>
      <c r="B180" s="47" t="s">
        <v>169</v>
      </c>
      <c r="C180" s="48">
        <f t="shared" si="1"/>
        <v>300000</v>
      </c>
      <c r="D180" s="48">
        <f>130000+70000+100000</f>
        <v>300000</v>
      </c>
      <c r="E180" s="48"/>
    </row>
    <row r="181" spans="1:5" x14ac:dyDescent="0.25">
      <c r="A181" s="55" t="s">
        <v>5</v>
      </c>
      <c r="B181" s="47" t="s">
        <v>170</v>
      </c>
      <c r="C181" s="50">
        <f t="shared" si="1"/>
        <v>105000</v>
      </c>
      <c r="D181" s="48">
        <v>105000</v>
      </c>
      <c r="E181" s="48"/>
    </row>
    <row r="182" spans="1:5" x14ac:dyDescent="0.25">
      <c r="A182" s="55" t="s">
        <v>5</v>
      </c>
      <c r="B182" s="47" t="s">
        <v>565</v>
      </c>
      <c r="C182" s="50">
        <f t="shared" si="1"/>
        <v>50000</v>
      </c>
      <c r="D182" s="48">
        <v>50000</v>
      </c>
      <c r="E182" s="48"/>
    </row>
    <row r="183" spans="1:5" x14ac:dyDescent="0.25">
      <c r="A183" s="55" t="s">
        <v>5</v>
      </c>
      <c r="B183" s="47" t="s">
        <v>171</v>
      </c>
      <c r="C183" s="50">
        <f t="shared" si="1"/>
        <v>300000</v>
      </c>
      <c r="D183" s="48">
        <v>300000</v>
      </c>
      <c r="E183" s="48"/>
    </row>
    <row r="184" spans="1:5" x14ac:dyDescent="0.25">
      <c r="A184" s="60" t="s">
        <v>60</v>
      </c>
      <c r="B184" s="69" t="s">
        <v>172</v>
      </c>
      <c r="C184" s="70">
        <f t="shared" si="1"/>
        <v>381000</v>
      </c>
      <c r="D184" s="62">
        <f>SUM(D185:D186)</f>
        <v>381000</v>
      </c>
      <c r="E184" s="62"/>
    </row>
    <row r="185" spans="1:5" s="49" customFormat="1" ht="30" x14ac:dyDescent="0.25">
      <c r="A185" s="46" t="s">
        <v>5</v>
      </c>
      <c r="B185" s="47" t="s">
        <v>173</v>
      </c>
      <c r="C185" s="48">
        <f t="shared" si="1"/>
        <v>43000</v>
      </c>
      <c r="D185" s="48">
        <v>43000</v>
      </c>
      <c r="E185" s="48"/>
    </row>
    <row r="186" spans="1:5" ht="45" x14ac:dyDescent="0.25">
      <c r="A186" s="55" t="s">
        <v>5</v>
      </c>
      <c r="B186" s="47" t="s">
        <v>174</v>
      </c>
      <c r="C186" s="48">
        <f t="shared" si="1"/>
        <v>338000</v>
      </c>
      <c r="D186" s="48">
        <v>338000</v>
      </c>
      <c r="E186" s="48"/>
    </row>
    <row r="187" spans="1:5" x14ac:dyDescent="0.25">
      <c r="A187" s="60" t="s">
        <v>175</v>
      </c>
      <c r="B187" s="61" t="s">
        <v>176</v>
      </c>
      <c r="C187" s="70">
        <f t="shared" si="1"/>
        <v>5306000</v>
      </c>
      <c r="D187" s="62">
        <f>D188+D196+D202+D207+D211</f>
        <v>5306000</v>
      </c>
      <c r="E187" s="70"/>
    </row>
    <row r="188" spans="1:5" x14ac:dyDescent="0.25">
      <c r="A188" s="60" t="s">
        <v>5</v>
      </c>
      <c r="B188" s="61" t="s">
        <v>177</v>
      </c>
      <c r="C188" s="70">
        <f t="shared" si="1"/>
        <v>1901000</v>
      </c>
      <c r="D188" s="62">
        <f>SUM(D189:D195)</f>
        <v>1901000</v>
      </c>
      <c r="E188" s="70"/>
    </row>
    <row r="189" spans="1:5" x14ac:dyDescent="0.25">
      <c r="A189" s="55" t="s">
        <v>19</v>
      </c>
      <c r="B189" s="51" t="s">
        <v>71</v>
      </c>
      <c r="C189" s="50">
        <f t="shared" ref="C189:C246" si="2">SUM(D189:E189)</f>
        <v>904000</v>
      </c>
      <c r="D189" s="48">
        <f>ROUND((903704),-3)</f>
        <v>904000</v>
      </c>
      <c r="E189" s="50"/>
    </row>
    <row r="190" spans="1:5" x14ac:dyDescent="0.25">
      <c r="A190" s="55" t="s">
        <v>19</v>
      </c>
      <c r="B190" s="51" t="s">
        <v>75</v>
      </c>
      <c r="C190" s="50">
        <f t="shared" si="2"/>
        <v>364000</v>
      </c>
      <c r="D190" s="50">
        <f>ROUND((328024+36000),-3)</f>
        <v>364000</v>
      </c>
      <c r="E190" s="50"/>
    </row>
    <row r="191" spans="1:5" s="49" customFormat="1" ht="30" x14ac:dyDescent="0.25">
      <c r="A191" s="55" t="s">
        <v>19</v>
      </c>
      <c r="B191" s="47" t="s">
        <v>178</v>
      </c>
      <c r="C191" s="48">
        <f t="shared" si="2"/>
        <v>150000</v>
      </c>
      <c r="D191" s="48">
        <v>150000</v>
      </c>
      <c r="E191" s="48"/>
    </row>
    <row r="192" spans="1:5" s="49" customFormat="1" ht="45" x14ac:dyDescent="0.25">
      <c r="A192" s="55" t="s">
        <v>19</v>
      </c>
      <c r="B192" s="47" t="s">
        <v>179</v>
      </c>
      <c r="C192" s="48">
        <f t="shared" si="2"/>
        <v>36000</v>
      </c>
      <c r="D192" s="48">
        <v>36000</v>
      </c>
      <c r="E192" s="48"/>
    </row>
    <row r="193" spans="1:5" s="49" customFormat="1" x14ac:dyDescent="0.25">
      <c r="A193" s="55" t="s">
        <v>19</v>
      </c>
      <c r="B193" s="47" t="s">
        <v>180</v>
      </c>
      <c r="C193" s="50">
        <f t="shared" si="2"/>
        <v>100000</v>
      </c>
      <c r="D193" s="48">
        <v>100000</v>
      </c>
      <c r="E193" s="48"/>
    </row>
    <row r="194" spans="1:5" s="49" customFormat="1" ht="30" x14ac:dyDescent="0.25">
      <c r="A194" s="55" t="s">
        <v>19</v>
      </c>
      <c r="B194" s="47" t="s">
        <v>181</v>
      </c>
      <c r="C194" s="48">
        <f t="shared" si="2"/>
        <v>100000</v>
      </c>
      <c r="D194" s="48">
        <v>100000</v>
      </c>
      <c r="E194" s="48"/>
    </row>
    <row r="195" spans="1:5" s="49" customFormat="1" x14ac:dyDescent="0.25">
      <c r="A195" s="55" t="s">
        <v>19</v>
      </c>
      <c r="B195" s="47" t="s">
        <v>579</v>
      </c>
      <c r="C195" s="50">
        <f t="shared" si="2"/>
        <v>247000</v>
      </c>
      <c r="D195" s="48">
        <f>ROUND((200000+6*6000*1.1+7000),-3)</f>
        <v>247000</v>
      </c>
      <c r="E195" s="48"/>
    </row>
    <row r="196" spans="1:5" x14ac:dyDescent="0.25">
      <c r="A196" s="60" t="s">
        <v>5</v>
      </c>
      <c r="B196" s="61" t="s">
        <v>182</v>
      </c>
      <c r="C196" s="70">
        <f t="shared" si="2"/>
        <v>689000</v>
      </c>
      <c r="D196" s="70">
        <f>SUM(D197:D201)</f>
        <v>689000</v>
      </c>
      <c r="E196" s="70"/>
    </row>
    <row r="197" spans="1:5" x14ac:dyDescent="0.25">
      <c r="A197" s="55" t="s">
        <v>19</v>
      </c>
      <c r="B197" s="51" t="s">
        <v>71</v>
      </c>
      <c r="C197" s="50">
        <f t="shared" si="2"/>
        <v>269000</v>
      </c>
      <c r="D197" s="50">
        <v>269000</v>
      </c>
      <c r="E197" s="50"/>
    </row>
    <row r="198" spans="1:5" x14ac:dyDescent="0.25">
      <c r="A198" s="55" t="s">
        <v>19</v>
      </c>
      <c r="B198" s="51" t="s">
        <v>134</v>
      </c>
      <c r="C198" s="50">
        <f t="shared" si="2"/>
        <v>97000</v>
      </c>
      <c r="D198" s="50">
        <f>ROUND((2*2.34*55%*1490*12+2.34*1.225*1490*12),-3)</f>
        <v>97000</v>
      </c>
      <c r="E198" s="50"/>
    </row>
    <row r="199" spans="1:5" x14ac:dyDescent="0.25">
      <c r="A199" s="55" t="s">
        <v>19</v>
      </c>
      <c r="B199" s="51" t="s">
        <v>85</v>
      </c>
      <c r="C199" s="50">
        <f t="shared" si="2"/>
        <v>76000</v>
      </c>
      <c r="D199" s="50">
        <f>ROUND((75758),-3)</f>
        <v>76000</v>
      </c>
      <c r="E199" s="50"/>
    </row>
    <row r="200" spans="1:5" s="49" customFormat="1" x14ac:dyDescent="0.25">
      <c r="A200" s="46" t="s">
        <v>19</v>
      </c>
      <c r="B200" s="47" t="s">
        <v>576</v>
      </c>
      <c r="C200" s="50">
        <f t="shared" si="2"/>
        <v>70000</v>
      </c>
      <c r="D200" s="48">
        <f>70000</f>
        <v>70000</v>
      </c>
      <c r="E200" s="48"/>
    </row>
    <row r="201" spans="1:5" s="49" customFormat="1" x14ac:dyDescent="0.25">
      <c r="A201" s="46" t="s">
        <v>19</v>
      </c>
      <c r="B201" s="47" t="s">
        <v>579</v>
      </c>
      <c r="C201" s="50">
        <f t="shared" si="2"/>
        <v>177000</v>
      </c>
      <c r="D201" s="48">
        <f>ROUND((150000+3*6000*1.1+7000),-3)</f>
        <v>177000</v>
      </c>
      <c r="E201" s="48"/>
    </row>
    <row r="202" spans="1:5" x14ac:dyDescent="0.25">
      <c r="A202" s="60" t="s">
        <v>5</v>
      </c>
      <c r="B202" s="61" t="s">
        <v>183</v>
      </c>
      <c r="C202" s="70">
        <f t="shared" si="2"/>
        <v>1106000</v>
      </c>
      <c r="D202" s="70">
        <f>SUM(D203:D206)</f>
        <v>1106000</v>
      </c>
      <c r="E202" s="70"/>
    </row>
    <row r="203" spans="1:5" x14ac:dyDescent="0.25">
      <c r="A203" s="55" t="s">
        <v>19</v>
      </c>
      <c r="B203" s="51" t="s">
        <v>71</v>
      </c>
      <c r="C203" s="50">
        <f t="shared" si="2"/>
        <v>617000</v>
      </c>
      <c r="D203" s="50">
        <v>617000</v>
      </c>
      <c r="E203" s="50"/>
    </row>
    <row r="204" spans="1:5" x14ac:dyDescent="0.25">
      <c r="A204" s="55" t="s">
        <v>19</v>
      </c>
      <c r="B204" s="51" t="s">
        <v>85</v>
      </c>
      <c r="C204" s="50">
        <f t="shared" si="2"/>
        <v>202000</v>
      </c>
      <c r="D204" s="50">
        <f>ROUND((202235),-3)</f>
        <v>202000</v>
      </c>
      <c r="E204" s="50"/>
    </row>
    <row r="205" spans="1:5" s="49" customFormat="1" ht="60" x14ac:dyDescent="0.25">
      <c r="A205" s="46" t="s">
        <v>19</v>
      </c>
      <c r="B205" s="47" t="s">
        <v>184</v>
      </c>
      <c r="C205" s="48">
        <f t="shared" si="2"/>
        <v>100000</v>
      </c>
      <c r="D205" s="48">
        <v>100000</v>
      </c>
      <c r="E205" s="48"/>
    </row>
    <row r="206" spans="1:5" s="49" customFormat="1" x14ac:dyDescent="0.25">
      <c r="A206" s="46" t="s">
        <v>19</v>
      </c>
      <c r="B206" s="47" t="s">
        <v>579</v>
      </c>
      <c r="C206" s="50">
        <f t="shared" si="2"/>
        <v>187000</v>
      </c>
      <c r="D206" s="48">
        <f>ROUND((150000+6000*4*1.1),-3)+4000+7000</f>
        <v>187000</v>
      </c>
      <c r="E206" s="48"/>
    </row>
    <row r="207" spans="1:5" x14ac:dyDescent="0.25">
      <c r="A207" s="60" t="s">
        <v>5</v>
      </c>
      <c r="B207" s="61" t="s">
        <v>185</v>
      </c>
      <c r="C207" s="70">
        <f t="shared" si="2"/>
        <v>1163000</v>
      </c>
      <c r="D207" s="70">
        <f>SUM(D208:D210)</f>
        <v>1163000</v>
      </c>
      <c r="E207" s="70"/>
    </row>
    <row r="208" spans="1:5" x14ac:dyDescent="0.25">
      <c r="A208" s="55" t="s">
        <v>19</v>
      </c>
      <c r="B208" s="51" t="s">
        <v>71</v>
      </c>
      <c r="C208" s="50">
        <f t="shared" si="2"/>
        <v>762000</v>
      </c>
      <c r="D208" s="50">
        <v>762000</v>
      </c>
      <c r="E208" s="50"/>
    </row>
    <row r="209" spans="1:5" x14ac:dyDescent="0.25">
      <c r="A209" s="55" t="s">
        <v>19</v>
      </c>
      <c r="B209" s="51" t="s">
        <v>85</v>
      </c>
      <c r="C209" s="50">
        <f t="shared" si="2"/>
        <v>211000</v>
      </c>
      <c r="D209" s="50">
        <f>ROUND((210568),-3)</f>
        <v>211000</v>
      </c>
      <c r="E209" s="50"/>
    </row>
    <row r="210" spans="1:5" x14ac:dyDescent="0.25">
      <c r="A210" s="46" t="s">
        <v>19</v>
      </c>
      <c r="B210" s="47" t="s">
        <v>579</v>
      </c>
      <c r="C210" s="50">
        <f t="shared" si="2"/>
        <v>190000</v>
      </c>
      <c r="D210" s="50">
        <f>(100000+5*6000*1.1)+50000+7000</f>
        <v>190000</v>
      </c>
      <c r="E210" s="48"/>
    </row>
    <row r="211" spans="1:5" s="63" customFormat="1" x14ac:dyDescent="0.25">
      <c r="A211" s="60" t="s">
        <v>5</v>
      </c>
      <c r="B211" s="61" t="s">
        <v>186</v>
      </c>
      <c r="C211" s="70">
        <f t="shared" si="2"/>
        <v>447000</v>
      </c>
      <c r="D211" s="70">
        <f>SUM(D212:D214)</f>
        <v>447000</v>
      </c>
      <c r="E211" s="70"/>
    </row>
    <row r="212" spans="1:5" x14ac:dyDescent="0.25">
      <c r="A212" s="55" t="s">
        <v>19</v>
      </c>
      <c r="B212" s="51" t="s">
        <v>71</v>
      </c>
      <c r="C212" s="50">
        <f t="shared" si="2"/>
        <v>277000</v>
      </c>
      <c r="D212" s="50">
        <f>ROUND((276586),-3)</f>
        <v>277000</v>
      </c>
      <c r="E212" s="50"/>
    </row>
    <row r="213" spans="1:5" x14ac:dyDescent="0.25">
      <c r="A213" s="55" t="s">
        <v>19</v>
      </c>
      <c r="B213" s="51" t="s">
        <v>85</v>
      </c>
      <c r="C213" s="50">
        <f t="shared" si="2"/>
        <v>93000</v>
      </c>
      <c r="D213" s="50">
        <f>ROUND((92678),-3)</f>
        <v>93000</v>
      </c>
      <c r="E213" s="50"/>
    </row>
    <row r="214" spans="1:5" x14ac:dyDescent="0.25">
      <c r="A214" s="46" t="s">
        <v>19</v>
      </c>
      <c r="B214" s="47" t="s">
        <v>579</v>
      </c>
      <c r="C214" s="50">
        <f t="shared" si="2"/>
        <v>77000</v>
      </c>
      <c r="D214" s="50">
        <f>ROUND((50000+3*6000*1.1),-3)+7000</f>
        <v>77000</v>
      </c>
      <c r="E214" s="48"/>
    </row>
    <row r="215" spans="1:5" s="2" customFormat="1" x14ac:dyDescent="0.25">
      <c r="A215" s="71">
        <v>10</v>
      </c>
      <c r="B215" s="72" t="s">
        <v>187</v>
      </c>
      <c r="C215" s="56">
        <f t="shared" si="2"/>
        <v>42573000</v>
      </c>
      <c r="D215" s="73">
        <f>D216+D232+D233+D234+D235+D236+D237+D238+D239+D240+D241</f>
        <v>38010000</v>
      </c>
      <c r="E215" s="73">
        <v>4563000</v>
      </c>
    </row>
    <row r="216" spans="1:5" x14ac:dyDescent="0.25">
      <c r="A216" s="46" t="s">
        <v>188</v>
      </c>
      <c r="B216" s="47" t="s">
        <v>189</v>
      </c>
      <c r="C216" s="50">
        <f t="shared" si="2"/>
        <v>1437000</v>
      </c>
      <c r="D216" s="48">
        <f>D217+D222+D225</f>
        <v>1437000</v>
      </c>
      <c r="E216" s="48"/>
    </row>
    <row r="217" spans="1:5" x14ac:dyDescent="0.25">
      <c r="A217" s="46" t="s">
        <v>83</v>
      </c>
      <c r="B217" s="47" t="s">
        <v>190</v>
      </c>
      <c r="C217" s="50">
        <f t="shared" si="2"/>
        <v>474000</v>
      </c>
      <c r="D217" s="48">
        <f>SUM(D218:D221)</f>
        <v>474000</v>
      </c>
      <c r="E217" s="48"/>
    </row>
    <row r="218" spans="1:5" x14ac:dyDescent="0.25">
      <c r="A218" s="46" t="s">
        <v>19</v>
      </c>
      <c r="B218" s="51" t="s">
        <v>71</v>
      </c>
      <c r="C218" s="50">
        <f t="shared" si="2"/>
        <v>173000</v>
      </c>
      <c r="D218" s="48">
        <f>ROUND((172680),-3)</f>
        <v>173000</v>
      </c>
      <c r="E218" s="50"/>
    </row>
    <row r="219" spans="1:5" x14ac:dyDescent="0.25">
      <c r="A219" s="46" t="s">
        <v>19</v>
      </c>
      <c r="B219" s="47" t="s">
        <v>75</v>
      </c>
      <c r="C219" s="50">
        <f t="shared" si="2"/>
        <v>43000</v>
      </c>
      <c r="D219" s="48">
        <f>ROUND((43170),-3)</f>
        <v>43000</v>
      </c>
      <c r="E219" s="48"/>
    </row>
    <row r="220" spans="1:5" x14ac:dyDescent="0.25">
      <c r="A220" s="46" t="s">
        <v>19</v>
      </c>
      <c r="B220" s="47" t="s">
        <v>191</v>
      </c>
      <c r="C220" s="50">
        <f t="shared" si="2"/>
        <v>150000</v>
      </c>
      <c r="D220" s="48">
        <v>150000</v>
      </c>
      <c r="E220" s="48"/>
    </row>
    <row r="221" spans="1:5" ht="30" x14ac:dyDescent="0.25">
      <c r="A221" s="46" t="s">
        <v>19</v>
      </c>
      <c r="B221" s="47" t="s">
        <v>577</v>
      </c>
      <c r="C221" s="50">
        <f t="shared" si="2"/>
        <v>108000</v>
      </c>
      <c r="D221" s="48">
        <v>108000</v>
      </c>
      <c r="E221" s="48"/>
    </row>
    <row r="222" spans="1:5" x14ac:dyDescent="0.25">
      <c r="A222" s="46" t="s">
        <v>88</v>
      </c>
      <c r="B222" s="47" t="s">
        <v>192</v>
      </c>
      <c r="C222" s="50">
        <f t="shared" si="2"/>
        <v>389000</v>
      </c>
      <c r="D222" s="48">
        <f>SUM(D223:D224)</f>
        <v>389000</v>
      </c>
      <c r="E222" s="48"/>
    </row>
    <row r="223" spans="1:5" x14ac:dyDescent="0.25">
      <c r="A223" s="46" t="s">
        <v>19</v>
      </c>
      <c r="B223" s="51" t="s">
        <v>71</v>
      </c>
      <c r="C223" s="50">
        <f t="shared" si="2"/>
        <v>294000</v>
      </c>
      <c r="D223" s="48">
        <f>ROUND((293731),-3)</f>
        <v>294000</v>
      </c>
      <c r="E223" s="50"/>
    </row>
    <row r="224" spans="1:5" x14ac:dyDescent="0.25">
      <c r="A224" s="46" t="s">
        <v>19</v>
      </c>
      <c r="B224" s="47" t="s">
        <v>85</v>
      </c>
      <c r="C224" s="50">
        <f t="shared" si="2"/>
        <v>95000</v>
      </c>
      <c r="D224" s="48">
        <f>ROUND((73433),-3)+4*5000*1.1</f>
        <v>95000</v>
      </c>
      <c r="E224" s="48"/>
    </row>
    <row r="225" spans="1:5" x14ac:dyDescent="0.25">
      <c r="A225" s="46" t="s">
        <v>193</v>
      </c>
      <c r="B225" s="47" t="s">
        <v>194</v>
      </c>
      <c r="C225" s="50">
        <f t="shared" si="2"/>
        <v>574000</v>
      </c>
      <c r="D225" s="48">
        <f>SUM(D226:D231)</f>
        <v>574000</v>
      </c>
      <c r="E225" s="48"/>
    </row>
    <row r="226" spans="1:5" x14ac:dyDescent="0.25">
      <c r="A226" s="46" t="s">
        <v>19</v>
      </c>
      <c r="B226" s="47" t="s">
        <v>195</v>
      </c>
      <c r="C226" s="50">
        <f t="shared" si="2"/>
        <v>111000</v>
      </c>
      <c r="D226" s="48">
        <f>80460+30540</f>
        <v>111000</v>
      </c>
      <c r="E226" s="48"/>
    </row>
    <row r="227" spans="1:5" x14ac:dyDescent="0.25">
      <c r="A227" s="46" t="s">
        <v>19</v>
      </c>
      <c r="B227" s="47" t="s">
        <v>196</v>
      </c>
      <c r="C227" s="50">
        <f t="shared" si="2"/>
        <v>111000</v>
      </c>
      <c r="D227" s="48">
        <f>80460+30540</f>
        <v>111000</v>
      </c>
      <c r="E227" s="48"/>
    </row>
    <row r="228" spans="1:5" x14ac:dyDescent="0.25">
      <c r="A228" s="46" t="s">
        <v>19</v>
      </c>
      <c r="B228" s="47" t="s">
        <v>197</v>
      </c>
      <c r="C228" s="50">
        <f t="shared" si="2"/>
        <v>66000</v>
      </c>
      <c r="D228" s="48">
        <f>35760+30240</f>
        <v>66000</v>
      </c>
      <c r="E228" s="48"/>
    </row>
    <row r="229" spans="1:5" x14ac:dyDescent="0.25">
      <c r="A229" s="46" t="s">
        <v>19</v>
      </c>
      <c r="B229" s="47" t="s">
        <v>198</v>
      </c>
      <c r="C229" s="50">
        <f t="shared" si="2"/>
        <v>111000</v>
      </c>
      <c r="D229" s="48">
        <f>80460+30540</f>
        <v>111000</v>
      </c>
      <c r="E229" s="48"/>
    </row>
    <row r="230" spans="1:5" x14ac:dyDescent="0.25">
      <c r="A230" s="46" t="s">
        <v>19</v>
      </c>
      <c r="B230" s="47" t="s">
        <v>199</v>
      </c>
      <c r="C230" s="50">
        <f t="shared" si="2"/>
        <v>75000</v>
      </c>
      <c r="D230" s="48">
        <f>44700+30300</f>
        <v>75000</v>
      </c>
      <c r="E230" s="48"/>
    </row>
    <row r="231" spans="1:5" ht="30" x14ac:dyDescent="0.25">
      <c r="A231" s="46" t="s">
        <v>19</v>
      </c>
      <c r="B231" s="47" t="s">
        <v>200</v>
      </c>
      <c r="C231" s="48">
        <f t="shared" si="2"/>
        <v>100000</v>
      </c>
      <c r="D231" s="48">
        <v>100000</v>
      </c>
      <c r="E231" s="48"/>
    </row>
    <row r="232" spans="1:5" ht="30" x14ac:dyDescent="0.25">
      <c r="A232" s="46" t="s">
        <v>201</v>
      </c>
      <c r="B232" s="47" t="s">
        <v>202</v>
      </c>
      <c r="C232" s="48">
        <f t="shared" si="2"/>
        <v>900000</v>
      </c>
      <c r="D232" s="48">
        <v>900000</v>
      </c>
      <c r="E232" s="48"/>
    </row>
    <row r="233" spans="1:5" ht="30" x14ac:dyDescent="0.25">
      <c r="A233" s="46" t="s">
        <v>203</v>
      </c>
      <c r="B233" s="47" t="s">
        <v>204</v>
      </c>
      <c r="C233" s="48">
        <f t="shared" si="2"/>
        <v>792000</v>
      </c>
      <c r="D233" s="48">
        <v>792000</v>
      </c>
      <c r="E233" s="48"/>
    </row>
    <row r="234" spans="1:5" s="49" customFormat="1" x14ac:dyDescent="0.25">
      <c r="A234" s="46" t="s">
        <v>205</v>
      </c>
      <c r="B234" s="127" t="s">
        <v>206</v>
      </c>
      <c r="C234" s="50">
        <f t="shared" si="2"/>
        <v>939000</v>
      </c>
      <c r="D234" s="48">
        <v>939000</v>
      </c>
      <c r="E234" s="128"/>
    </row>
    <row r="235" spans="1:5" s="49" customFormat="1" x14ac:dyDescent="0.25">
      <c r="A235" s="46" t="s">
        <v>207</v>
      </c>
      <c r="B235" s="127" t="s">
        <v>208</v>
      </c>
      <c r="C235" s="50">
        <f t="shared" si="2"/>
        <v>2460000</v>
      </c>
      <c r="D235" s="48">
        <v>2460000</v>
      </c>
      <c r="E235" s="128"/>
    </row>
    <row r="236" spans="1:5" s="49" customFormat="1" x14ac:dyDescent="0.25">
      <c r="A236" s="46" t="s">
        <v>209</v>
      </c>
      <c r="B236" s="127" t="s">
        <v>210</v>
      </c>
      <c r="C236" s="50">
        <f t="shared" si="2"/>
        <v>2288000</v>
      </c>
      <c r="D236" s="48">
        <v>2288000</v>
      </c>
      <c r="E236" s="128"/>
    </row>
    <row r="237" spans="1:5" s="49" customFormat="1" x14ac:dyDescent="0.25">
      <c r="A237" s="46" t="s">
        <v>211</v>
      </c>
      <c r="B237" s="127" t="s">
        <v>212</v>
      </c>
      <c r="C237" s="50">
        <f t="shared" si="2"/>
        <v>25778000</v>
      </c>
      <c r="D237" s="48">
        <f>25605000+173000</f>
        <v>25778000</v>
      </c>
      <c r="E237" s="128"/>
    </row>
    <row r="238" spans="1:5" s="49" customFormat="1" ht="30" x14ac:dyDescent="0.25">
      <c r="A238" s="46" t="s">
        <v>213</v>
      </c>
      <c r="B238" s="48" t="s">
        <v>214</v>
      </c>
      <c r="C238" s="48">
        <f t="shared" si="2"/>
        <v>792000</v>
      </c>
      <c r="D238" s="48">
        <f>2448000-1656000</f>
        <v>792000</v>
      </c>
      <c r="E238" s="48"/>
    </row>
    <row r="239" spans="1:5" s="49" customFormat="1" x14ac:dyDescent="0.25">
      <c r="A239" s="46" t="s">
        <v>215</v>
      </c>
      <c r="B239" s="127" t="s">
        <v>216</v>
      </c>
      <c r="C239" s="50">
        <f t="shared" si="2"/>
        <v>832000</v>
      </c>
      <c r="D239" s="48">
        <f>1391000-559000</f>
        <v>832000</v>
      </c>
      <c r="E239" s="128"/>
    </row>
    <row r="240" spans="1:5" s="49" customFormat="1" x14ac:dyDescent="0.25">
      <c r="A240" s="46" t="s">
        <v>217</v>
      </c>
      <c r="B240" s="127" t="s">
        <v>218</v>
      </c>
      <c r="C240" s="50">
        <f t="shared" si="2"/>
        <v>592000</v>
      </c>
      <c r="D240" s="48">
        <v>592000</v>
      </c>
      <c r="E240" s="128"/>
    </row>
    <row r="241" spans="1:5" s="49" customFormat="1" ht="30" x14ac:dyDescent="0.25">
      <c r="A241" s="46" t="s">
        <v>219</v>
      </c>
      <c r="B241" s="47" t="s">
        <v>220</v>
      </c>
      <c r="C241" s="48">
        <f t="shared" si="2"/>
        <v>1200000</v>
      </c>
      <c r="D241" s="48">
        <v>1200000</v>
      </c>
      <c r="E241" s="48"/>
    </row>
    <row r="242" spans="1:5" s="2" customFormat="1" x14ac:dyDescent="0.25">
      <c r="A242" s="71">
        <v>11</v>
      </c>
      <c r="B242" s="72" t="s">
        <v>221</v>
      </c>
      <c r="C242" s="56">
        <f t="shared" si="2"/>
        <v>1428000</v>
      </c>
      <c r="D242" s="73">
        <v>500000</v>
      </c>
      <c r="E242" s="73">
        <v>928000</v>
      </c>
    </row>
    <row r="243" spans="1:5" s="2" customFormat="1" ht="28.5" x14ac:dyDescent="0.25">
      <c r="A243" s="71">
        <v>12</v>
      </c>
      <c r="B243" s="72" t="s">
        <v>222</v>
      </c>
      <c r="C243" s="73">
        <f t="shared" si="2"/>
        <v>4603000</v>
      </c>
      <c r="D243" s="73">
        <v>4603000</v>
      </c>
      <c r="E243" s="73"/>
    </row>
    <row r="244" spans="1:5" s="2" customFormat="1" x14ac:dyDescent="0.25">
      <c r="A244" s="71">
        <v>13</v>
      </c>
      <c r="B244" s="54" t="s">
        <v>223</v>
      </c>
      <c r="C244" s="56">
        <f t="shared" si="2"/>
        <v>1500000</v>
      </c>
      <c r="D244" s="56">
        <v>1500000</v>
      </c>
      <c r="E244" s="56"/>
    </row>
    <row r="245" spans="1:5" s="22" customFormat="1" x14ac:dyDescent="0.2">
      <c r="A245" s="71">
        <v>14</v>
      </c>
      <c r="B245" s="72" t="s">
        <v>224</v>
      </c>
      <c r="C245" s="56">
        <f t="shared" si="2"/>
        <v>3000000</v>
      </c>
      <c r="D245" s="73">
        <v>3000000</v>
      </c>
      <c r="E245" s="73"/>
    </row>
    <row r="246" spans="1:5" s="22" customFormat="1" ht="28.5" x14ac:dyDescent="0.25">
      <c r="A246" s="229">
        <v>15</v>
      </c>
      <c r="B246" s="72" t="s">
        <v>585</v>
      </c>
      <c r="C246" s="228">
        <f t="shared" si="2"/>
        <v>3300000</v>
      </c>
      <c r="D246" s="228">
        <v>3300000</v>
      </c>
      <c r="E246" s="228"/>
    </row>
    <row r="247" spans="1:5" s="22" customFormat="1" x14ac:dyDescent="0.25">
      <c r="A247" s="80" t="s">
        <v>38</v>
      </c>
      <c r="B247" s="81" t="s">
        <v>225</v>
      </c>
      <c r="C247" s="84">
        <f t="shared" ref="C247" si="3">SUM(D247:E247)</f>
        <v>12058000</v>
      </c>
      <c r="D247" s="84">
        <v>9500000</v>
      </c>
      <c r="E247" s="84">
        <v>2558000</v>
      </c>
    </row>
    <row r="248" spans="1:5" s="49" customFormat="1" x14ac:dyDescent="0.25">
      <c r="A248" s="74"/>
      <c r="B248" s="75"/>
      <c r="C248" s="75"/>
      <c r="D248" s="76"/>
      <c r="E248" s="75"/>
    </row>
    <row r="249" spans="1:5" s="2" customFormat="1" x14ac:dyDescent="0.25">
      <c r="A249" s="245"/>
      <c r="B249" s="33"/>
      <c r="C249" s="33"/>
      <c r="D249" s="77"/>
      <c r="E249" s="33"/>
    </row>
    <row r="250" spans="1:5" s="2" customFormat="1" x14ac:dyDescent="0.25">
      <c r="A250" s="245"/>
      <c r="B250" s="78"/>
      <c r="C250" s="78"/>
      <c r="D250" s="77"/>
      <c r="E250" s="78"/>
    </row>
    <row r="251" spans="1:5" x14ac:dyDescent="0.25">
      <c r="D251" s="79"/>
    </row>
    <row r="252" spans="1:5" x14ac:dyDescent="0.25">
      <c r="D252" s="79"/>
    </row>
    <row r="253" spans="1:5" x14ac:dyDescent="0.25">
      <c r="D253" s="79"/>
    </row>
    <row r="254" spans="1:5" x14ac:dyDescent="0.25">
      <c r="B254" s="33"/>
      <c r="C254" s="33"/>
      <c r="D254" s="33"/>
      <c r="E254" s="33"/>
    </row>
    <row r="255" spans="1:5" s="2" customFormat="1" x14ac:dyDescent="0.25">
      <c r="A255" s="245"/>
      <c r="B255" s="33"/>
      <c r="C255" s="33"/>
      <c r="D255" s="77"/>
      <c r="E255" s="33"/>
    </row>
    <row r="256" spans="1:5" x14ac:dyDescent="0.25">
      <c r="A256" s="1"/>
      <c r="B256" s="1"/>
      <c r="C256" s="1"/>
      <c r="D256" s="79"/>
      <c r="E256" s="1"/>
    </row>
    <row r="257" spans="1:5" x14ac:dyDescent="0.25">
      <c r="A257" s="1"/>
      <c r="B257" s="1"/>
      <c r="C257" s="1"/>
      <c r="E257" s="1"/>
    </row>
    <row r="258" spans="1:5" x14ac:dyDescent="0.25">
      <c r="A258" s="1"/>
      <c r="B258" s="1"/>
      <c r="C258" s="1"/>
      <c r="E258" s="1"/>
    </row>
    <row r="259" spans="1:5" ht="20.25" customHeight="1" x14ac:dyDescent="0.25"/>
  </sheetData>
  <mergeCells count="7">
    <mergeCell ref="D1:E1"/>
    <mergeCell ref="C8:E8"/>
    <mergeCell ref="C9:E9"/>
    <mergeCell ref="B8:B10"/>
    <mergeCell ref="A8:A10"/>
    <mergeCell ref="A4:E4"/>
    <mergeCell ref="A5:E5"/>
  </mergeCells>
  <conditionalFormatting sqref="B21">
    <cfRule type="duplicateValues" dxfId="26" priority="20"/>
  </conditionalFormatting>
  <conditionalFormatting sqref="B22">
    <cfRule type="duplicateValues" dxfId="25" priority="17"/>
  </conditionalFormatting>
  <conditionalFormatting sqref="B22">
    <cfRule type="duplicateValues" dxfId="24" priority="18"/>
  </conditionalFormatting>
  <conditionalFormatting sqref="B23">
    <cfRule type="duplicateValues" dxfId="23" priority="19"/>
  </conditionalFormatting>
  <conditionalFormatting sqref="B30:B31">
    <cfRule type="duplicateValues" dxfId="22" priority="15"/>
  </conditionalFormatting>
  <conditionalFormatting sqref="B30:B31">
    <cfRule type="duplicateValues" dxfId="21" priority="16"/>
  </conditionalFormatting>
  <conditionalFormatting sqref="B41">
    <cfRule type="duplicateValues" dxfId="20" priority="13"/>
  </conditionalFormatting>
  <conditionalFormatting sqref="B40">
    <cfRule type="duplicateValues" dxfId="19" priority="12"/>
  </conditionalFormatting>
  <conditionalFormatting sqref="B41 B32:B39">
    <cfRule type="duplicateValues" dxfId="18" priority="14"/>
  </conditionalFormatting>
  <conditionalFormatting sqref="B42">
    <cfRule type="duplicateValues" dxfId="17" priority="10"/>
  </conditionalFormatting>
  <conditionalFormatting sqref="B45 B43">
    <cfRule type="duplicateValues" dxfId="16" priority="11"/>
  </conditionalFormatting>
  <conditionalFormatting sqref="B55">
    <cfRule type="duplicateValues" dxfId="15" priority="8"/>
  </conditionalFormatting>
  <conditionalFormatting sqref="B55">
    <cfRule type="duplicateValues" dxfId="14" priority="9"/>
  </conditionalFormatting>
  <conditionalFormatting sqref="B57">
    <cfRule type="duplicateValues" dxfId="13" priority="7"/>
  </conditionalFormatting>
  <conditionalFormatting sqref="B58">
    <cfRule type="duplicateValues" dxfId="12" priority="6"/>
  </conditionalFormatting>
  <conditionalFormatting sqref="B48:B49 B44">
    <cfRule type="duplicateValues" dxfId="11" priority="21"/>
  </conditionalFormatting>
  <conditionalFormatting sqref="B32:B39">
    <cfRule type="duplicateValues" dxfId="10" priority="22"/>
  </conditionalFormatting>
  <conditionalFormatting sqref="B42:B43 B45:B46">
    <cfRule type="duplicateValues" dxfId="9" priority="23"/>
  </conditionalFormatting>
  <conditionalFormatting sqref="B54 B50">
    <cfRule type="duplicateValues" dxfId="8" priority="24"/>
  </conditionalFormatting>
  <conditionalFormatting sqref="B59:B60">
    <cfRule type="duplicateValues" dxfId="7" priority="25"/>
  </conditionalFormatting>
  <conditionalFormatting sqref="B47">
    <cfRule type="duplicateValues" dxfId="6" priority="26"/>
  </conditionalFormatting>
  <conditionalFormatting sqref="B51">
    <cfRule type="duplicateValues" dxfId="5" priority="5"/>
  </conditionalFormatting>
  <conditionalFormatting sqref="B61 B63">
    <cfRule type="duplicateValues" dxfId="4" priority="27"/>
  </conditionalFormatting>
  <conditionalFormatting sqref="B62">
    <cfRule type="duplicateValues" dxfId="3" priority="4"/>
  </conditionalFormatting>
  <conditionalFormatting sqref="B53">
    <cfRule type="duplicateValues" dxfId="2" priority="2"/>
  </conditionalFormatting>
  <conditionalFormatting sqref="B53">
    <cfRule type="duplicateValues" dxfId="1" priority="3"/>
  </conditionalFormatting>
  <conditionalFormatting sqref="B56">
    <cfRule type="duplicateValues" dxfId="0" priority="1"/>
  </conditionalFormatting>
  <pageMargins left="0.49" right="0.3" top="0.5" bottom="0.52"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5"/>
  <sheetViews>
    <sheetView workbookViewId="0">
      <selection activeCell="G14" sqref="G14"/>
    </sheetView>
  </sheetViews>
  <sheetFormatPr defaultRowHeight="15.75" x14ac:dyDescent="0.25"/>
  <cols>
    <col min="1" max="1" width="6.85546875" style="4" customWidth="1"/>
    <col min="2" max="2" width="23" style="3" customWidth="1"/>
    <col min="3" max="3" width="11.85546875" style="3" customWidth="1"/>
    <col min="4" max="4" width="11.7109375" style="3" customWidth="1"/>
    <col min="5" max="5" width="10.140625" style="3" customWidth="1"/>
    <col min="6" max="9" width="10.5703125" style="3" customWidth="1"/>
    <col min="10" max="10" width="10.85546875" style="3" customWidth="1"/>
    <col min="11" max="11" width="10.7109375" style="3" customWidth="1"/>
    <col min="12" max="16384" width="9.140625" style="3"/>
  </cols>
  <sheetData>
    <row r="1" spans="1:11" x14ac:dyDescent="0.25">
      <c r="A1" s="5" t="s">
        <v>291</v>
      </c>
      <c r="J1" s="248" t="s">
        <v>289</v>
      </c>
      <c r="K1" s="248"/>
    </row>
    <row r="2" spans="1:11" ht="20.25" customHeight="1" x14ac:dyDescent="0.25">
      <c r="A2" s="5" t="s">
        <v>1</v>
      </c>
      <c r="B2" s="85"/>
      <c r="C2" s="85"/>
      <c r="D2" s="85"/>
      <c r="E2" s="85"/>
      <c r="F2" s="85"/>
      <c r="G2" s="85"/>
      <c r="H2" s="85"/>
      <c r="I2" s="85"/>
      <c r="J2" s="85"/>
    </row>
    <row r="3" spans="1:11" ht="20.25" customHeight="1" x14ac:dyDescent="0.25">
      <c r="A3" s="5"/>
      <c r="B3" s="85"/>
      <c r="C3" s="85"/>
      <c r="D3" s="85"/>
      <c r="E3" s="85"/>
      <c r="F3" s="85"/>
      <c r="G3" s="85"/>
      <c r="H3" s="85"/>
      <c r="I3" s="85"/>
      <c r="J3" s="85"/>
    </row>
    <row r="4" spans="1:11" ht="20.25" customHeight="1" x14ac:dyDescent="0.25">
      <c r="A4" s="282" t="s">
        <v>229</v>
      </c>
      <c r="B4" s="282"/>
      <c r="C4" s="282"/>
      <c r="D4" s="282"/>
      <c r="E4" s="282"/>
      <c r="F4" s="282"/>
      <c r="G4" s="282"/>
      <c r="H4" s="282"/>
      <c r="I4" s="282"/>
      <c r="J4" s="282"/>
      <c r="K4" s="282"/>
    </row>
    <row r="5" spans="1:11" ht="20.25" customHeight="1" x14ac:dyDescent="0.25">
      <c r="A5" s="284" t="str">
        <f>chi!A5</f>
        <v>(Kèm theo Nghị quyết số            /NQ-HĐND ngày          /12/2022 của HĐND huyện Nghi Xuân)</v>
      </c>
      <c r="B5" s="284"/>
      <c r="C5" s="284"/>
      <c r="D5" s="284"/>
      <c r="E5" s="284"/>
      <c r="F5" s="284"/>
      <c r="G5" s="284"/>
      <c r="H5" s="284"/>
      <c r="I5" s="284"/>
      <c r="J5" s="284"/>
      <c r="K5" s="284"/>
    </row>
    <row r="6" spans="1:11" ht="20.25" customHeight="1" x14ac:dyDescent="0.25">
      <c r="A6" s="86"/>
      <c r="B6" s="86"/>
      <c r="C6" s="86"/>
      <c r="D6" s="86"/>
      <c r="E6" s="86"/>
      <c r="F6" s="86"/>
      <c r="G6" s="86"/>
      <c r="H6" s="86"/>
      <c r="I6" s="86"/>
      <c r="J6" s="86"/>
    </row>
    <row r="7" spans="1:11" ht="20.25" customHeight="1" x14ac:dyDescent="0.25">
      <c r="H7" s="283" t="s">
        <v>230</v>
      </c>
      <c r="I7" s="283"/>
      <c r="J7" s="283"/>
    </row>
    <row r="8" spans="1:11" s="88" customFormat="1" ht="106.9" customHeight="1" x14ac:dyDescent="0.25">
      <c r="A8" s="87" t="s">
        <v>2</v>
      </c>
      <c r="B8" s="87" t="s">
        <v>231</v>
      </c>
      <c r="C8" s="87" t="s">
        <v>232</v>
      </c>
      <c r="D8" s="87" t="s">
        <v>233</v>
      </c>
      <c r="E8" s="87" t="s">
        <v>234</v>
      </c>
      <c r="F8" s="87" t="s">
        <v>13</v>
      </c>
      <c r="G8" s="87" t="s">
        <v>235</v>
      </c>
      <c r="H8" s="87" t="s">
        <v>236</v>
      </c>
      <c r="I8" s="87" t="s">
        <v>237</v>
      </c>
      <c r="J8" s="87" t="s">
        <v>18</v>
      </c>
      <c r="K8" s="87" t="s">
        <v>238</v>
      </c>
    </row>
    <row r="9" spans="1:11" s="90" customFormat="1" ht="15" customHeight="1" x14ac:dyDescent="0.2">
      <c r="A9" s="89"/>
      <c r="B9" s="89">
        <v>1</v>
      </c>
      <c r="C9" s="89">
        <v>2</v>
      </c>
      <c r="D9" s="89">
        <v>3</v>
      </c>
      <c r="E9" s="89">
        <v>5</v>
      </c>
      <c r="F9" s="89">
        <v>6</v>
      </c>
      <c r="G9" s="89">
        <v>7</v>
      </c>
      <c r="H9" s="89">
        <v>8</v>
      </c>
      <c r="I9" s="89">
        <v>9</v>
      </c>
      <c r="J9" s="89">
        <v>10</v>
      </c>
      <c r="K9" s="89">
        <v>11</v>
      </c>
    </row>
    <row r="10" spans="1:11" s="90" customFormat="1" ht="17.25" customHeight="1" x14ac:dyDescent="0.2">
      <c r="A10" s="91">
        <v>1</v>
      </c>
      <c r="B10" s="92" t="s">
        <v>239</v>
      </c>
      <c r="C10" s="93">
        <f>SUM(D10:K10)</f>
        <v>9978000</v>
      </c>
      <c r="D10" s="93">
        <v>500000</v>
      </c>
      <c r="E10" s="94">
        <v>150000</v>
      </c>
      <c r="F10" s="93">
        <v>57000</v>
      </c>
      <c r="G10" s="94">
        <v>18000</v>
      </c>
      <c r="H10" s="93">
        <v>3000</v>
      </c>
      <c r="I10" s="93">
        <v>0</v>
      </c>
      <c r="J10" s="95">
        <v>9000000</v>
      </c>
      <c r="K10" s="93">
        <v>250000</v>
      </c>
    </row>
    <row r="11" spans="1:11" s="90" customFormat="1" ht="17.25" customHeight="1" x14ac:dyDescent="0.2">
      <c r="A11" s="91">
        <v>2</v>
      </c>
      <c r="B11" s="92" t="s">
        <v>240</v>
      </c>
      <c r="C11" s="93">
        <f t="shared" ref="C11:C26" si="0">SUM(D11:K11)</f>
        <v>27246500</v>
      </c>
      <c r="D11" s="93">
        <v>520000</v>
      </c>
      <c r="E11" s="94">
        <v>250000</v>
      </c>
      <c r="F11" s="93">
        <v>86500</v>
      </c>
      <c r="G11" s="94">
        <v>40000</v>
      </c>
      <c r="H11" s="93"/>
      <c r="I11" s="93"/>
      <c r="J11" s="95">
        <v>26000000</v>
      </c>
      <c r="K11" s="93">
        <v>350000</v>
      </c>
    </row>
    <row r="12" spans="1:11" s="90" customFormat="1" ht="17.25" customHeight="1" x14ac:dyDescent="0.2">
      <c r="A12" s="91">
        <v>3</v>
      </c>
      <c r="B12" s="92" t="s">
        <v>241</v>
      </c>
      <c r="C12" s="93">
        <f t="shared" si="0"/>
        <v>9571500</v>
      </c>
      <c r="D12" s="93">
        <v>250000</v>
      </c>
      <c r="E12" s="94">
        <v>170000</v>
      </c>
      <c r="F12" s="93">
        <v>38500</v>
      </c>
      <c r="G12" s="94">
        <v>18000</v>
      </c>
      <c r="H12" s="93">
        <v>35000</v>
      </c>
      <c r="I12" s="93"/>
      <c r="J12" s="95">
        <v>9000000</v>
      </c>
      <c r="K12" s="93">
        <v>60000</v>
      </c>
    </row>
    <row r="13" spans="1:11" s="90" customFormat="1" ht="17.25" customHeight="1" x14ac:dyDescent="0.2">
      <c r="A13" s="91">
        <v>4</v>
      </c>
      <c r="B13" s="92" t="s">
        <v>242</v>
      </c>
      <c r="C13" s="93">
        <f t="shared" si="0"/>
        <v>18689000</v>
      </c>
      <c r="D13" s="93">
        <v>280000</v>
      </c>
      <c r="E13" s="94">
        <v>350000</v>
      </c>
      <c r="F13" s="93">
        <v>57000</v>
      </c>
      <c r="G13" s="94">
        <v>22000</v>
      </c>
      <c r="H13" s="93">
        <v>130000</v>
      </c>
      <c r="I13" s="93"/>
      <c r="J13" s="95">
        <v>17800000</v>
      </c>
      <c r="K13" s="93">
        <v>50000</v>
      </c>
    </row>
    <row r="14" spans="1:11" s="90" customFormat="1" ht="17.25" customHeight="1" x14ac:dyDescent="0.2">
      <c r="A14" s="91">
        <v>5</v>
      </c>
      <c r="B14" s="92" t="s">
        <v>243</v>
      </c>
      <c r="C14" s="93">
        <f t="shared" si="0"/>
        <v>8205500</v>
      </c>
      <c r="D14" s="93">
        <v>430000</v>
      </c>
      <c r="E14" s="94">
        <v>150000</v>
      </c>
      <c r="F14" s="93">
        <v>57500</v>
      </c>
      <c r="G14" s="94">
        <v>18000</v>
      </c>
      <c r="H14" s="93"/>
      <c r="I14" s="93"/>
      <c r="J14" s="95">
        <v>7500000</v>
      </c>
      <c r="K14" s="93">
        <v>50000</v>
      </c>
    </row>
    <row r="15" spans="1:11" s="90" customFormat="1" ht="17.25" customHeight="1" x14ac:dyDescent="0.2">
      <c r="A15" s="91">
        <v>6</v>
      </c>
      <c r="B15" s="92" t="s">
        <v>244</v>
      </c>
      <c r="C15" s="93">
        <f t="shared" si="0"/>
        <v>52576500</v>
      </c>
      <c r="D15" s="93">
        <v>2340000</v>
      </c>
      <c r="E15" s="94">
        <v>400000</v>
      </c>
      <c r="F15" s="93">
        <v>42500</v>
      </c>
      <c r="G15" s="94">
        <v>44000</v>
      </c>
      <c r="H15" s="93">
        <v>600000</v>
      </c>
      <c r="I15" s="93"/>
      <c r="J15" s="95">
        <v>49000000</v>
      </c>
      <c r="K15" s="93">
        <v>150000</v>
      </c>
    </row>
    <row r="16" spans="1:11" s="90" customFormat="1" ht="17.25" customHeight="1" x14ac:dyDescent="0.2">
      <c r="A16" s="91">
        <v>7</v>
      </c>
      <c r="B16" s="92" t="s">
        <v>245</v>
      </c>
      <c r="C16" s="93">
        <f t="shared" si="0"/>
        <v>14398500</v>
      </c>
      <c r="D16" s="93">
        <v>520000</v>
      </c>
      <c r="E16" s="94">
        <v>340000</v>
      </c>
      <c r="F16" s="93">
        <v>45500</v>
      </c>
      <c r="G16" s="94">
        <v>40000</v>
      </c>
      <c r="H16" s="93">
        <v>28000</v>
      </c>
      <c r="I16" s="93"/>
      <c r="J16" s="95">
        <v>13200000</v>
      </c>
      <c r="K16" s="93">
        <v>225000</v>
      </c>
    </row>
    <row r="17" spans="1:11" s="90" customFormat="1" ht="17.25" customHeight="1" x14ac:dyDescent="0.2">
      <c r="A17" s="91">
        <v>8</v>
      </c>
      <c r="B17" s="92" t="s">
        <v>246</v>
      </c>
      <c r="C17" s="93">
        <f t="shared" si="0"/>
        <v>8268000</v>
      </c>
      <c r="D17" s="93">
        <v>490000</v>
      </c>
      <c r="E17" s="94">
        <v>200000</v>
      </c>
      <c r="F17" s="93">
        <v>91000</v>
      </c>
      <c r="G17" s="94">
        <v>45000</v>
      </c>
      <c r="H17" s="93">
        <v>122000</v>
      </c>
      <c r="I17" s="93"/>
      <c r="J17" s="95">
        <v>7200000</v>
      </c>
      <c r="K17" s="93">
        <v>120000</v>
      </c>
    </row>
    <row r="18" spans="1:11" s="90" customFormat="1" ht="17.25" customHeight="1" x14ac:dyDescent="0.2">
      <c r="A18" s="91">
        <v>9</v>
      </c>
      <c r="B18" s="92" t="s">
        <v>247</v>
      </c>
      <c r="C18" s="93">
        <f t="shared" si="0"/>
        <v>9635000</v>
      </c>
      <c r="D18" s="93">
        <v>2330000</v>
      </c>
      <c r="E18" s="94">
        <v>150000</v>
      </c>
      <c r="F18" s="93">
        <v>375000</v>
      </c>
      <c r="G18" s="94">
        <v>20000</v>
      </c>
      <c r="H18" s="93">
        <v>700000</v>
      </c>
      <c r="I18" s="93">
        <v>1000000</v>
      </c>
      <c r="J18" s="95">
        <v>5000000</v>
      </c>
      <c r="K18" s="93">
        <v>60000</v>
      </c>
    </row>
    <row r="19" spans="1:11" s="90" customFormat="1" ht="17.25" customHeight="1" x14ac:dyDescent="0.2">
      <c r="A19" s="91">
        <v>10</v>
      </c>
      <c r="B19" s="92" t="s">
        <v>248</v>
      </c>
      <c r="C19" s="93">
        <f t="shared" si="0"/>
        <v>24916000</v>
      </c>
      <c r="D19" s="93">
        <v>1300000</v>
      </c>
      <c r="E19" s="94">
        <v>350000</v>
      </c>
      <c r="F19" s="93">
        <v>99000</v>
      </c>
      <c r="G19" s="94">
        <v>40000</v>
      </c>
      <c r="H19" s="93">
        <v>7000</v>
      </c>
      <c r="I19" s="93"/>
      <c r="J19" s="95">
        <v>22800000</v>
      </c>
      <c r="K19" s="93">
        <v>320000</v>
      </c>
    </row>
    <row r="20" spans="1:11" s="90" customFormat="1" ht="17.25" customHeight="1" x14ac:dyDescent="0.2">
      <c r="A20" s="91">
        <v>11</v>
      </c>
      <c r="B20" s="92" t="s">
        <v>249</v>
      </c>
      <c r="C20" s="93">
        <f t="shared" si="0"/>
        <v>9685000</v>
      </c>
      <c r="D20" s="93">
        <v>1990000</v>
      </c>
      <c r="E20" s="94">
        <v>150000</v>
      </c>
      <c r="F20" s="93">
        <v>98000</v>
      </c>
      <c r="G20" s="94">
        <v>55000</v>
      </c>
      <c r="H20" s="93">
        <v>60000</v>
      </c>
      <c r="I20" s="93"/>
      <c r="J20" s="95">
        <v>7000000</v>
      </c>
      <c r="K20" s="93">
        <v>332000</v>
      </c>
    </row>
    <row r="21" spans="1:11" s="90" customFormat="1" ht="17.25" customHeight="1" x14ac:dyDescent="0.2">
      <c r="A21" s="91">
        <v>12</v>
      </c>
      <c r="B21" s="92" t="s">
        <v>250</v>
      </c>
      <c r="C21" s="93">
        <f t="shared" si="0"/>
        <v>9550000</v>
      </c>
      <c r="D21" s="93">
        <v>4040000</v>
      </c>
      <c r="E21" s="94">
        <v>250000</v>
      </c>
      <c r="F21" s="93">
        <v>73000</v>
      </c>
      <c r="G21" s="94">
        <v>45000</v>
      </c>
      <c r="H21" s="93">
        <v>60000</v>
      </c>
      <c r="I21" s="93"/>
      <c r="J21" s="95">
        <v>5000000</v>
      </c>
      <c r="K21" s="93">
        <v>82000</v>
      </c>
    </row>
    <row r="22" spans="1:11" s="90" customFormat="1" ht="17.25" customHeight="1" x14ac:dyDescent="0.2">
      <c r="A22" s="91">
        <v>13</v>
      </c>
      <c r="B22" s="92" t="s">
        <v>251</v>
      </c>
      <c r="C22" s="93">
        <f t="shared" si="0"/>
        <v>9284000</v>
      </c>
      <c r="D22" s="93">
        <v>1060000</v>
      </c>
      <c r="E22" s="94">
        <v>70000</v>
      </c>
      <c r="F22" s="93">
        <v>49000</v>
      </c>
      <c r="G22" s="94">
        <v>20000</v>
      </c>
      <c r="H22" s="93">
        <v>25000</v>
      </c>
      <c r="I22" s="93"/>
      <c r="J22" s="95">
        <v>8000000</v>
      </c>
      <c r="K22" s="93">
        <v>60000</v>
      </c>
    </row>
    <row r="23" spans="1:11" s="90" customFormat="1" ht="17.25" customHeight="1" x14ac:dyDescent="0.2">
      <c r="A23" s="91">
        <v>14</v>
      </c>
      <c r="B23" s="92" t="s">
        <v>252</v>
      </c>
      <c r="C23" s="93">
        <f t="shared" si="0"/>
        <v>86914000</v>
      </c>
      <c r="D23" s="93">
        <v>11170000</v>
      </c>
      <c r="E23" s="94">
        <v>2500000</v>
      </c>
      <c r="F23" s="93">
        <v>154000</v>
      </c>
      <c r="G23" s="94">
        <v>330000</v>
      </c>
      <c r="H23" s="93">
        <v>3600000</v>
      </c>
      <c r="I23" s="93"/>
      <c r="J23" s="95">
        <v>69000000</v>
      </c>
      <c r="K23" s="93">
        <v>160000</v>
      </c>
    </row>
    <row r="24" spans="1:11" s="90" customFormat="1" ht="17.25" customHeight="1" x14ac:dyDescent="0.2">
      <c r="A24" s="91">
        <v>15</v>
      </c>
      <c r="B24" s="92" t="s">
        <v>253</v>
      </c>
      <c r="C24" s="93">
        <f t="shared" si="0"/>
        <v>7683500</v>
      </c>
      <c r="D24" s="93">
        <v>1160000</v>
      </c>
      <c r="E24" s="94">
        <v>200000</v>
      </c>
      <c r="F24" s="93">
        <v>72500</v>
      </c>
      <c r="G24" s="94">
        <v>30000</v>
      </c>
      <c r="H24" s="93">
        <v>70000</v>
      </c>
      <c r="I24" s="93"/>
      <c r="J24" s="95">
        <v>6000000</v>
      </c>
      <c r="K24" s="93">
        <v>151000</v>
      </c>
    </row>
    <row r="25" spans="1:11" s="90" customFormat="1" ht="17.25" customHeight="1" x14ac:dyDescent="0.2">
      <c r="A25" s="91">
        <v>16</v>
      </c>
      <c r="B25" s="92" t="s">
        <v>254</v>
      </c>
      <c r="C25" s="93">
        <f t="shared" si="0"/>
        <v>2204000</v>
      </c>
      <c r="D25" s="93">
        <v>140000</v>
      </c>
      <c r="E25" s="94">
        <v>70000</v>
      </c>
      <c r="F25" s="93">
        <v>24000</v>
      </c>
      <c r="G25" s="94">
        <v>20000</v>
      </c>
      <c r="H25" s="93">
        <v>360000</v>
      </c>
      <c r="I25" s="93"/>
      <c r="J25" s="95">
        <v>1500000</v>
      </c>
      <c r="K25" s="93">
        <v>90000</v>
      </c>
    </row>
    <row r="26" spans="1:11" s="90" customFormat="1" ht="17.25" customHeight="1" x14ac:dyDescent="0.2">
      <c r="A26" s="91">
        <v>17</v>
      </c>
      <c r="B26" s="92" t="s">
        <v>255</v>
      </c>
      <c r="C26" s="93">
        <f t="shared" si="0"/>
        <v>5842000</v>
      </c>
      <c r="D26" s="93">
        <v>480000</v>
      </c>
      <c r="E26" s="94">
        <v>250000</v>
      </c>
      <c r="F26" s="93">
        <v>27000</v>
      </c>
      <c r="G26" s="94">
        <v>25000</v>
      </c>
      <c r="H26" s="93"/>
      <c r="I26" s="93"/>
      <c r="J26" s="95">
        <v>5000000</v>
      </c>
      <c r="K26" s="93">
        <v>60000</v>
      </c>
    </row>
    <row r="27" spans="1:11" s="90" customFormat="1" ht="22.5" customHeight="1" x14ac:dyDescent="0.2">
      <c r="A27" s="96"/>
      <c r="B27" s="97" t="s">
        <v>256</v>
      </c>
      <c r="C27" s="98">
        <f t="shared" ref="C27:K27" si="1">SUM(C10:C26)</f>
        <v>314647000</v>
      </c>
      <c r="D27" s="98">
        <f t="shared" si="1"/>
        <v>29000000</v>
      </c>
      <c r="E27" s="98">
        <f t="shared" si="1"/>
        <v>6000000</v>
      </c>
      <c r="F27" s="98">
        <f t="shared" si="1"/>
        <v>1447000</v>
      </c>
      <c r="G27" s="98">
        <f t="shared" si="1"/>
        <v>830000</v>
      </c>
      <c r="H27" s="98">
        <f t="shared" si="1"/>
        <v>5800000</v>
      </c>
      <c r="I27" s="98">
        <f t="shared" si="1"/>
        <v>1000000</v>
      </c>
      <c r="J27" s="98">
        <f t="shared" si="1"/>
        <v>268000000</v>
      </c>
      <c r="K27" s="98">
        <f t="shared" si="1"/>
        <v>2570000</v>
      </c>
    </row>
    <row r="28" spans="1:11" ht="11.25" customHeight="1" x14ac:dyDescent="0.25"/>
    <row r="29" spans="1:11" ht="20.25" customHeight="1" x14ac:dyDescent="0.25"/>
    <row r="30" spans="1:11" ht="20.25" customHeight="1" x14ac:dyDescent="0.25"/>
    <row r="31" spans="1:11" ht="20.25" customHeight="1" x14ac:dyDescent="0.25"/>
    <row r="32" spans="1:11"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20.25" customHeight="1" x14ac:dyDescent="0.25"/>
    <row r="222" ht="20.25" customHeight="1" x14ac:dyDescent="0.25"/>
    <row r="223" ht="20.25" customHeight="1" x14ac:dyDescent="0.25"/>
    <row r="224" ht="20.25" customHeight="1" x14ac:dyDescent="0.25"/>
    <row r="225" ht="20.25" customHeight="1" x14ac:dyDescent="0.25"/>
    <row r="226" ht="20.25" customHeight="1" x14ac:dyDescent="0.25"/>
    <row r="227" ht="20.25" customHeight="1" x14ac:dyDescent="0.25"/>
    <row r="228" ht="20.25" customHeight="1" x14ac:dyDescent="0.25"/>
    <row r="229" ht="20.25" customHeight="1" x14ac:dyDescent="0.25"/>
    <row r="230" ht="20.25" customHeight="1" x14ac:dyDescent="0.25"/>
    <row r="231" ht="20.25" customHeight="1" x14ac:dyDescent="0.25"/>
    <row r="232" ht="20.25" customHeight="1" x14ac:dyDescent="0.25"/>
    <row r="233" ht="20.25" customHeight="1" x14ac:dyDescent="0.25"/>
    <row r="234" ht="20.25" customHeight="1" x14ac:dyDescent="0.25"/>
    <row r="235" ht="20.25" customHeight="1" x14ac:dyDescent="0.25"/>
    <row r="236" ht="20.25" customHeight="1" x14ac:dyDescent="0.25"/>
    <row r="237" ht="20.25" customHeight="1" x14ac:dyDescent="0.25"/>
    <row r="238" ht="20.25" customHeight="1" x14ac:dyDescent="0.25"/>
    <row r="239" ht="20.25" customHeight="1" x14ac:dyDescent="0.25"/>
    <row r="240" ht="20.25" customHeight="1" x14ac:dyDescent="0.25"/>
    <row r="241" ht="20.25" customHeight="1" x14ac:dyDescent="0.25"/>
    <row r="242" ht="20.25" customHeight="1" x14ac:dyDescent="0.25"/>
    <row r="243" ht="20.25" customHeight="1" x14ac:dyDescent="0.25"/>
    <row r="244" ht="20.25" customHeight="1" x14ac:dyDescent="0.25"/>
    <row r="245" ht="20.25" customHeight="1" x14ac:dyDescent="0.25"/>
    <row r="246" ht="20.25" customHeight="1" x14ac:dyDescent="0.25"/>
    <row r="247" ht="20.25" customHeight="1" x14ac:dyDescent="0.25"/>
    <row r="248" ht="20.25" customHeight="1" x14ac:dyDescent="0.25"/>
    <row r="249" ht="20.25" customHeight="1" x14ac:dyDescent="0.25"/>
    <row r="250" ht="20.25" customHeight="1" x14ac:dyDescent="0.25"/>
    <row r="251" ht="20.25" customHeight="1" x14ac:dyDescent="0.25"/>
    <row r="252" ht="20.25" customHeight="1" x14ac:dyDescent="0.25"/>
    <row r="253" ht="20.25" customHeight="1" x14ac:dyDescent="0.25"/>
    <row r="254" ht="20.25" customHeight="1" x14ac:dyDescent="0.25"/>
    <row r="255" ht="20.25" customHeight="1" x14ac:dyDescent="0.25"/>
    <row r="256" ht="20.25" customHeight="1" x14ac:dyDescent="0.25"/>
    <row r="257" ht="20.25" customHeight="1" x14ac:dyDescent="0.25"/>
    <row r="258" ht="20.25" customHeight="1" x14ac:dyDescent="0.25"/>
    <row r="259" ht="20.25" customHeight="1" x14ac:dyDescent="0.25"/>
    <row r="260" ht="20.25" customHeight="1" x14ac:dyDescent="0.25"/>
    <row r="261" ht="20.25" customHeight="1" x14ac:dyDescent="0.25"/>
    <row r="262" ht="20.25" customHeight="1" x14ac:dyDescent="0.25"/>
    <row r="263" ht="20.25" customHeight="1" x14ac:dyDescent="0.25"/>
    <row r="264" ht="20.25" customHeight="1" x14ac:dyDescent="0.25"/>
    <row r="265" ht="20.25" customHeight="1" x14ac:dyDescent="0.25"/>
    <row r="266" ht="20.25" customHeight="1" x14ac:dyDescent="0.25"/>
    <row r="267" ht="20.25" customHeight="1" x14ac:dyDescent="0.25"/>
    <row r="268" ht="20.25" customHeight="1" x14ac:dyDescent="0.25"/>
    <row r="269" ht="20.25" customHeight="1" x14ac:dyDescent="0.25"/>
    <row r="270" ht="20.25" customHeight="1" x14ac:dyDescent="0.25"/>
    <row r="271" ht="20.25" customHeight="1" x14ac:dyDescent="0.25"/>
    <row r="272" ht="20.25" customHeight="1" x14ac:dyDescent="0.25"/>
    <row r="273" ht="20.25" customHeight="1" x14ac:dyDescent="0.25"/>
    <row r="274" ht="20.25" customHeight="1" x14ac:dyDescent="0.25"/>
    <row r="275" ht="20.25" customHeight="1" x14ac:dyDescent="0.25"/>
    <row r="276" ht="20.25" customHeight="1" x14ac:dyDescent="0.25"/>
    <row r="277" ht="20.25" customHeight="1" x14ac:dyDescent="0.25"/>
    <row r="278" ht="20.25" customHeight="1" x14ac:dyDescent="0.25"/>
    <row r="279" ht="20.25" customHeight="1" x14ac:dyDescent="0.25"/>
    <row r="280" ht="20.25" customHeight="1" x14ac:dyDescent="0.25"/>
    <row r="281" ht="20.25" customHeight="1" x14ac:dyDescent="0.25"/>
    <row r="282" ht="20.25" customHeight="1" x14ac:dyDescent="0.25"/>
    <row r="283" ht="20.25" customHeight="1" x14ac:dyDescent="0.25"/>
    <row r="284" ht="20.25" customHeight="1" x14ac:dyDescent="0.25"/>
    <row r="285" ht="20.25" customHeight="1" x14ac:dyDescent="0.25"/>
    <row r="286" ht="20.25" customHeight="1" x14ac:dyDescent="0.25"/>
    <row r="287" ht="20.25" customHeight="1" x14ac:dyDescent="0.25"/>
    <row r="288" ht="20.25" customHeight="1" x14ac:dyDescent="0.25"/>
    <row r="289" ht="20.25" customHeight="1" x14ac:dyDescent="0.25"/>
    <row r="290" ht="20.25" customHeight="1" x14ac:dyDescent="0.25"/>
    <row r="291" ht="20.25" customHeight="1" x14ac:dyDescent="0.25"/>
    <row r="292" ht="20.25" customHeight="1" x14ac:dyDescent="0.25"/>
    <row r="293" ht="20.25" customHeight="1" x14ac:dyDescent="0.25"/>
    <row r="294" ht="20.25" customHeight="1" x14ac:dyDescent="0.25"/>
    <row r="295" ht="20.25" customHeight="1" x14ac:dyDescent="0.25"/>
    <row r="296" ht="20.25" customHeight="1" x14ac:dyDescent="0.25"/>
    <row r="297" ht="20.25" customHeight="1" x14ac:dyDescent="0.25"/>
    <row r="298" ht="20.25" customHeight="1" x14ac:dyDescent="0.25"/>
    <row r="299" ht="20.25" customHeight="1" x14ac:dyDescent="0.25"/>
    <row r="300" ht="20.25" customHeight="1" x14ac:dyDescent="0.25"/>
    <row r="301" ht="20.25" customHeight="1" x14ac:dyDescent="0.25"/>
    <row r="302" ht="20.25" customHeight="1" x14ac:dyDescent="0.25"/>
    <row r="303" ht="20.25" customHeight="1" x14ac:dyDescent="0.25"/>
    <row r="304" ht="20.25" customHeight="1" x14ac:dyDescent="0.25"/>
    <row r="305" ht="20.25" customHeight="1" x14ac:dyDescent="0.25"/>
    <row r="306" ht="20.25" customHeight="1" x14ac:dyDescent="0.25"/>
    <row r="307" ht="20.25" customHeight="1" x14ac:dyDescent="0.25"/>
    <row r="308" ht="20.25" customHeight="1" x14ac:dyDescent="0.25"/>
    <row r="309" ht="20.25" customHeight="1" x14ac:dyDescent="0.25"/>
    <row r="310" ht="20.25" customHeight="1" x14ac:dyDescent="0.25"/>
    <row r="311" ht="20.25" customHeight="1" x14ac:dyDescent="0.25"/>
    <row r="312" ht="20.25" customHeight="1" x14ac:dyDescent="0.25"/>
    <row r="313" ht="20.25" customHeight="1" x14ac:dyDescent="0.25"/>
    <row r="314" ht="20.25" customHeight="1" x14ac:dyDescent="0.25"/>
    <row r="315" ht="20.25" customHeight="1" x14ac:dyDescent="0.25"/>
    <row r="316" ht="20.25" customHeight="1" x14ac:dyDescent="0.25"/>
    <row r="317" ht="20.25" customHeight="1" x14ac:dyDescent="0.25"/>
    <row r="318" ht="20.25" customHeight="1" x14ac:dyDescent="0.25"/>
    <row r="319" ht="20.25" customHeight="1" x14ac:dyDescent="0.25"/>
    <row r="320" ht="20.25" customHeight="1" x14ac:dyDescent="0.25"/>
    <row r="321" ht="20.25" customHeight="1" x14ac:dyDescent="0.25"/>
    <row r="322" ht="20.25" customHeight="1" x14ac:dyDescent="0.25"/>
    <row r="323" ht="20.25" customHeight="1" x14ac:dyDescent="0.25"/>
    <row r="324" ht="20.25" customHeight="1" x14ac:dyDescent="0.25"/>
    <row r="325" ht="20.25" customHeight="1" x14ac:dyDescent="0.25"/>
    <row r="326" ht="20.25" customHeight="1" x14ac:dyDescent="0.25"/>
    <row r="327" ht="20.25" customHeight="1" x14ac:dyDescent="0.25"/>
    <row r="328" ht="20.25" customHeight="1" x14ac:dyDescent="0.25"/>
    <row r="329" ht="20.25" customHeight="1" x14ac:dyDescent="0.25"/>
    <row r="330" ht="20.25" customHeight="1" x14ac:dyDescent="0.25"/>
    <row r="331" ht="20.25" customHeight="1" x14ac:dyDescent="0.25"/>
    <row r="332" ht="20.25" customHeight="1" x14ac:dyDescent="0.25"/>
    <row r="333" ht="20.25" customHeight="1" x14ac:dyDescent="0.25"/>
    <row r="334" ht="20.25" customHeight="1" x14ac:dyDescent="0.25"/>
    <row r="335" ht="20.25" customHeight="1" x14ac:dyDescent="0.25"/>
    <row r="336" ht="20.25" customHeight="1" x14ac:dyDescent="0.25"/>
    <row r="337" ht="20.25" customHeight="1" x14ac:dyDescent="0.25"/>
    <row r="338" ht="20.25" customHeight="1" x14ac:dyDescent="0.25"/>
    <row r="339" ht="20.25" customHeight="1" x14ac:dyDescent="0.25"/>
    <row r="340" ht="20.25" customHeight="1" x14ac:dyDescent="0.25"/>
    <row r="341" ht="20.25" customHeight="1" x14ac:dyDescent="0.25"/>
    <row r="342" ht="20.25" customHeight="1" x14ac:dyDescent="0.25"/>
    <row r="343" ht="20.25" customHeight="1" x14ac:dyDescent="0.25"/>
    <row r="344" ht="20.25" customHeight="1" x14ac:dyDescent="0.25"/>
    <row r="345" ht="20.25" customHeight="1" x14ac:dyDescent="0.25"/>
    <row r="346" ht="20.25" customHeight="1" x14ac:dyDescent="0.25"/>
    <row r="347" ht="20.25" customHeight="1" x14ac:dyDescent="0.25"/>
    <row r="348" ht="20.25" customHeight="1" x14ac:dyDescent="0.25"/>
    <row r="349" ht="20.25" customHeight="1" x14ac:dyDescent="0.25"/>
    <row r="350" ht="20.25" customHeight="1" x14ac:dyDescent="0.25"/>
    <row r="351" ht="20.25" customHeight="1" x14ac:dyDescent="0.25"/>
    <row r="352" ht="20.25" customHeight="1" x14ac:dyDescent="0.25"/>
    <row r="353" ht="20.25" customHeight="1" x14ac:dyDescent="0.25"/>
    <row r="354" ht="20.25" customHeight="1" x14ac:dyDescent="0.25"/>
    <row r="355" ht="20.25" customHeight="1" x14ac:dyDescent="0.25"/>
    <row r="356" ht="20.25" customHeight="1" x14ac:dyDescent="0.25"/>
    <row r="357" ht="20.25" customHeight="1" x14ac:dyDescent="0.25"/>
    <row r="358" ht="20.25" customHeight="1" x14ac:dyDescent="0.25"/>
    <row r="359" ht="20.25" customHeight="1" x14ac:dyDescent="0.25"/>
    <row r="360" ht="20.25" customHeight="1" x14ac:dyDescent="0.25"/>
    <row r="361" ht="20.25" customHeight="1" x14ac:dyDescent="0.25"/>
    <row r="362" ht="20.25" customHeight="1" x14ac:dyDescent="0.25"/>
    <row r="363" ht="20.25" customHeight="1" x14ac:dyDescent="0.25"/>
    <row r="364" ht="20.25" customHeight="1" x14ac:dyDescent="0.25"/>
    <row r="365" ht="20.25" customHeight="1" x14ac:dyDescent="0.25"/>
    <row r="366" ht="20.25" customHeight="1" x14ac:dyDescent="0.25"/>
    <row r="367" ht="20.25" customHeight="1" x14ac:dyDescent="0.25"/>
    <row r="368"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row r="390" ht="20.25" customHeight="1" x14ac:dyDescent="0.25"/>
    <row r="391" ht="20.25" customHeight="1" x14ac:dyDescent="0.25"/>
    <row r="392" ht="20.25" customHeight="1" x14ac:dyDescent="0.25"/>
    <row r="393" ht="20.25" customHeight="1" x14ac:dyDescent="0.25"/>
    <row r="394" ht="20.25" customHeight="1" x14ac:dyDescent="0.25"/>
    <row r="395" ht="20.25" customHeight="1" x14ac:dyDescent="0.25"/>
    <row r="396" ht="20.25" customHeight="1" x14ac:dyDescent="0.25"/>
    <row r="397" ht="20.25" customHeight="1" x14ac:dyDescent="0.25"/>
    <row r="398" ht="20.25" customHeight="1" x14ac:dyDescent="0.25"/>
    <row r="399" ht="20.25" customHeight="1" x14ac:dyDescent="0.25"/>
    <row r="400" ht="20.25" customHeight="1" x14ac:dyDescent="0.25"/>
    <row r="401" ht="20.25" customHeight="1" x14ac:dyDescent="0.25"/>
    <row r="402" ht="20.25" customHeight="1" x14ac:dyDescent="0.25"/>
    <row r="403" ht="20.25" customHeight="1" x14ac:dyDescent="0.25"/>
    <row r="404" ht="20.25" customHeight="1" x14ac:dyDescent="0.25"/>
    <row r="405" ht="20.25" customHeight="1" x14ac:dyDescent="0.25"/>
    <row r="406" ht="20.25" customHeight="1" x14ac:dyDescent="0.25"/>
    <row r="407" ht="20.25" customHeight="1" x14ac:dyDescent="0.25"/>
    <row r="408" ht="20.25" customHeight="1" x14ac:dyDescent="0.25"/>
    <row r="409" ht="20.25" customHeight="1" x14ac:dyDescent="0.25"/>
    <row r="410" ht="20.25" customHeight="1" x14ac:dyDescent="0.25"/>
    <row r="411" ht="20.25" customHeight="1" x14ac:dyDescent="0.25"/>
    <row r="412" ht="20.25" customHeight="1" x14ac:dyDescent="0.25"/>
    <row r="413" ht="20.25" customHeight="1" x14ac:dyDescent="0.25"/>
    <row r="414" ht="20.25" customHeight="1" x14ac:dyDescent="0.25"/>
    <row r="415" ht="20.25" customHeight="1" x14ac:dyDescent="0.25"/>
    <row r="416" ht="20.25" customHeight="1" x14ac:dyDescent="0.25"/>
    <row r="417" ht="20.25" customHeight="1" x14ac:dyDescent="0.25"/>
    <row r="418" ht="20.25" customHeight="1" x14ac:dyDescent="0.25"/>
    <row r="419" ht="20.25" customHeight="1" x14ac:dyDescent="0.25"/>
    <row r="420" ht="20.25" customHeight="1" x14ac:dyDescent="0.25"/>
    <row r="421" ht="20.25" customHeight="1" x14ac:dyDescent="0.25"/>
    <row r="422" ht="20.25" customHeight="1" x14ac:dyDescent="0.25"/>
    <row r="423" ht="20.25" customHeight="1" x14ac:dyDescent="0.25"/>
    <row r="424" ht="20.25" customHeight="1" x14ac:dyDescent="0.25"/>
    <row r="425" ht="20.25" customHeight="1" x14ac:dyDescent="0.25"/>
    <row r="426" ht="20.25" customHeight="1" x14ac:dyDescent="0.25"/>
    <row r="427" ht="20.25" customHeight="1" x14ac:dyDescent="0.25"/>
    <row r="428" ht="20.25" customHeight="1" x14ac:dyDescent="0.25"/>
    <row r="429" ht="20.25" customHeight="1" x14ac:dyDescent="0.25"/>
    <row r="430" ht="20.25" customHeight="1" x14ac:dyDescent="0.25"/>
    <row r="431" ht="20.25" customHeight="1" x14ac:dyDescent="0.25"/>
    <row r="432" ht="20.25" customHeight="1" x14ac:dyDescent="0.25"/>
    <row r="433" ht="20.25" customHeight="1" x14ac:dyDescent="0.25"/>
    <row r="434" ht="20.25" customHeight="1" x14ac:dyDescent="0.25"/>
    <row r="435" ht="20.25" customHeight="1" x14ac:dyDescent="0.25"/>
    <row r="436" ht="20.25" customHeight="1" x14ac:dyDescent="0.25"/>
    <row r="437" ht="20.25" customHeight="1" x14ac:dyDescent="0.25"/>
    <row r="438" ht="20.25" customHeight="1" x14ac:dyDescent="0.25"/>
    <row r="439" ht="20.25" customHeight="1" x14ac:dyDescent="0.25"/>
    <row r="440" ht="20.25" customHeight="1" x14ac:dyDescent="0.25"/>
    <row r="441" ht="20.25" customHeight="1" x14ac:dyDescent="0.25"/>
    <row r="442" ht="20.25" customHeight="1" x14ac:dyDescent="0.25"/>
    <row r="443" ht="20.25" customHeight="1" x14ac:dyDescent="0.25"/>
    <row r="444" ht="20.25" customHeight="1" x14ac:dyDescent="0.25"/>
    <row r="445" ht="20.25" customHeight="1" x14ac:dyDescent="0.25"/>
    <row r="446" ht="20.25" customHeight="1" x14ac:dyDescent="0.25"/>
    <row r="447" ht="20.25" customHeight="1" x14ac:dyDescent="0.25"/>
    <row r="448" ht="20.25" customHeight="1" x14ac:dyDescent="0.25"/>
    <row r="449" ht="20.25" customHeight="1" x14ac:dyDescent="0.25"/>
    <row r="450" ht="20.25" customHeight="1" x14ac:dyDescent="0.25"/>
    <row r="451" ht="20.25" customHeight="1" x14ac:dyDescent="0.25"/>
    <row r="452" ht="20.25" customHeight="1" x14ac:dyDescent="0.25"/>
    <row r="453" ht="20.25" customHeight="1" x14ac:dyDescent="0.25"/>
    <row r="454" ht="20.25" customHeight="1" x14ac:dyDescent="0.25"/>
    <row r="455" ht="20.25" customHeight="1" x14ac:dyDescent="0.25"/>
    <row r="456" ht="20.25" customHeight="1" x14ac:dyDescent="0.25"/>
    <row r="457" ht="20.25" customHeight="1" x14ac:dyDescent="0.25"/>
    <row r="458" ht="20.25" customHeight="1" x14ac:dyDescent="0.25"/>
    <row r="459" ht="20.25" customHeight="1" x14ac:dyDescent="0.25"/>
    <row r="460" ht="20.25" customHeight="1" x14ac:dyDescent="0.25"/>
    <row r="461" ht="20.25" customHeight="1" x14ac:dyDescent="0.25"/>
    <row r="462" ht="20.25" customHeight="1" x14ac:dyDescent="0.25"/>
    <row r="463" ht="20.25" customHeight="1" x14ac:dyDescent="0.25"/>
    <row r="464" ht="20.25" customHeight="1" x14ac:dyDescent="0.25"/>
    <row r="465" ht="20.25" customHeight="1" x14ac:dyDescent="0.25"/>
    <row r="466" ht="20.25" customHeight="1" x14ac:dyDescent="0.25"/>
    <row r="467" ht="20.25" customHeight="1" x14ac:dyDescent="0.25"/>
    <row r="468" ht="20.25" customHeight="1" x14ac:dyDescent="0.25"/>
    <row r="469" ht="20.25" customHeight="1" x14ac:dyDescent="0.25"/>
    <row r="470" ht="20.25" customHeight="1" x14ac:dyDescent="0.25"/>
    <row r="471" ht="20.25" customHeight="1" x14ac:dyDescent="0.25"/>
    <row r="472" ht="20.25" customHeight="1" x14ac:dyDescent="0.25"/>
    <row r="473" ht="20.25" customHeight="1" x14ac:dyDescent="0.25"/>
    <row r="474" ht="20.25" customHeight="1" x14ac:dyDescent="0.25"/>
    <row r="475" ht="20.25" customHeight="1" x14ac:dyDescent="0.25"/>
    <row r="476" ht="20.25" customHeight="1" x14ac:dyDescent="0.25"/>
    <row r="477" ht="20.25" customHeight="1" x14ac:dyDescent="0.25"/>
    <row r="478" ht="20.25" customHeight="1" x14ac:dyDescent="0.25"/>
    <row r="479" ht="20.25" customHeight="1" x14ac:dyDescent="0.25"/>
    <row r="480" ht="20.25" customHeight="1" x14ac:dyDescent="0.25"/>
    <row r="481" ht="20.25" customHeight="1" x14ac:dyDescent="0.25"/>
    <row r="482" ht="20.25" customHeight="1" x14ac:dyDescent="0.25"/>
    <row r="483" ht="20.25" customHeight="1" x14ac:dyDescent="0.25"/>
    <row r="484" ht="20.25" customHeight="1" x14ac:dyDescent="0.25"/>
    <row r="485" ht="20.25" customHeight="1" x14ac:dyDescent="0.25"/>
    <row r="486" ht="20.25" customHeight="1" x14ac:dyDescent="0.25"/>
    <row r="487" ht="20.25" customHeight="1" x14ac:dyDescent="0.25"/>
    <row r="488" ht="20.25" customHeight="1" x14ac:dyDescent="0.25"/>
    <row r="489" ht="20.25" customHeight="1" x14ac:dyDescent="0.25"/>
    <row r="490" ht="20.25" customHeight="1" x14ac:dyDescent="0.25"/>
    <row r="491" ht="20.25" customHeight="1" x14ac:dyDescent="0.25"/>
    <row r="492" ht="20.25" customHeight="1" x14ac:dyDescent="0.25"/>
    <row r="493" ht="20.25" customHeight="1" x14ac:dyDescent="0.25"/>
    <row r="494" ht="20.25" customHeight="1" x14ac:dyDescent="0.25"/>
    <row r="495" ht="20.25" customHeight="1" x14ac:dyDescent="0.25"/>
    <row r="496" ht="20.25" customHeight="1" x14ac:dyDescent="0.25"/>
    <row r="497" ht="20.25" customHeight="1" x14ac:dyDescent="0.25"/>
    <row r="498" ht="20.25" customHeight="1" x14ac:dyDescent="0.25"/>
    <row r="499" ht="20.25" customHeight="1" x14ac:dyDescent="0.25"/>
    <row r="500" ht="20.25" customHeight="1" x14ac:dyDescent="0.25"/>
    <row r="501" ht="20.25" customHeight="1" x14ac:dyDescent="0.25"/>
    <row r="502" ht="20.25" customHeight="1" x14ac:dyDescent="0.25"/>
    <row r="503" ht="20.25" customHeight="1" x14ac:dyDescent="0.25"/>
    <row r="504" ht="20.25" customHeight="1" x14ac:dyDescent="0.25"/>
    <row r="505" ht="20.25" customHeight="1" x14ac:dyDescent="0.25"/>
    <row r="506" ht="20.25" customHeight="1" x14ac:dyDescent="0.25"/>
    <row r="507" ht="20.25" customHeight="1" x14ac:dyDescent="0.25"/>
    <row r="508" ht="20.25" customHeight="1" x14ac:dyDescent="0.25"/>
    <row r="509" ht="20.25" customHeight="1" x14ac:dyDescent="0.25"/>
    <row r="510" ht="20.25" customHeight="1" x14ac:dyDescent="0.25"/>
    <row r="511" ht="20.25" customHeight="1" x14ac:dyDescent="0.25"/>
    <row r="512" ht="20.25" customHeight="1" x14ac:dyDescent="0.25"/>
    <row r="513" ht="20.25" customHeight="1" x14ac:dyDescent="0.25"/>
    <row r="514" ht="20.25" customHeight="1" x14ac:dyDescent="0.25"/>
    <row r="515" ht="20.25" customHeight="1" x14ac:dyDescent="0.25"/>
    <row r="516" ht="20.25" customHeight="1" x14ac:dyDescent="0.25"/>
    <row r="517" ht="20.25" customHeight="1" x14ac:dyDescent="0.25"/>
    <row r="518" ht="20.25" customHeight="1" x14ac:dyDescent="0.25"/>
    <row r="519" ht="20.25" customHeight="1" x14ac:dyDescent="0.25"/>
    <row r="520" ht="20.25" customHeight="1" x14ac:dyDescent="0.25"/>
    <row r="521" ht="20.25" customHeight="1" x14ac:dyDescent="0.25"/>
    <row r="522" ht="20.25" customHeight="1" x14ac:dyDescent="0.25"/>
    <row r="523" ht="20.25" customHeight="1" x14ac:dyDescent="0.25"/>
    <row r="524" ht="20.25" customHeight="1" x14ac:dyDescent="0.25"/>
    <row r="525" ht="20.25" customHeight="1" x14ac:dyDescent="0.25"/>
    <row r="526" ht="20.25" customHeight="1" x14ac:dyDescent="0.25"/>
    <row r="527" ht="20.25" customHeight="1" x14ac:dyDescent="0.25"/>
    <row r="528" ht="20.25" customHeight="1" x14ac:dyDescent="0.25"/>
    <row r="529" ht="20.25" customHeight="1" x14ac:dyDescent="0.25"/>
    <row r="530" ht="20.25" customHeight="1" x14ac:dyDescent="0.25"/>
    <row r="531" ht="20.25" customHeight="1" x14ac:dyDescent="0.25"/>
    <row r="532" ht="20.25" customHeight="1" x14ac:dyDescent="0.25"/>
    <row r="533" ht="20.25" customHeight="1" x14ac:dyDescent="0.25"/>
    <row r="534" ht="20.25" customHeight="1" x14ac:dyDescent="0.25"/>
    <row r="535" ht="20.25" customHeight="1" x14ac:dyDescent="0.25"/>
    <row r="536" ht="20.25" customHeight="1" x14ac:dyDescent="0.25"/>
    <row r="537" ht="20.25" customHeight="1" x14ac:dyDescent="0.25"/>
    <row r="538" ht="20.25" customHeight="1" x14ac:dyDescent="0.25"/>
    <row r="539" ht="20.25" customHeight="1" x14ac:dyDescent="0.25"/>
    <row r="540" ht="20.25" customHeight="1" x14ac:dyDescent="0.25"/>
    <row r="541" ht="20.25" customHeight="1" x14ac:dyDescent="0.25"/>
    <row r="542" ht="20.25" customHeight="1" x14ac:dyDescent="0.25"/>
    <row r="543" ht="20.25" customHeight="1" x14ac:dyDescent="0.25"/>
    <row r="544" ht="20.25" customHeight="1" x14ac:dyDescent="0.25"/>
    <row r="545" ht="20.25" customHeight="1" x14ac:dyDescent="0.25"/>
    <row r="546" ht="20.25" customHeight="1" x14ac:dyDescent="0.25"/>
    <row r="547" ht="20.25" customHeight="1" x14ac:dyDescent="0.25"/>
    <row r="548" ht="20.25" customHeight="1" x14ac:dyDescent="0.25"/>
    <row r="549" ht="20.25" customHeight="1" x14ac:dyDescent="0.25"/>
    <row r="550" ht="20.25" customHeight="1" x14ac:dyDescent="0.25"/>
    <row r="551" ht="20.25" customHeight="1" x14ac:dyDescent="0.25"/>
    <row r="552" ht="20.25" customHeight="1" x14ac:dyDescent="0.25"/>
    <row r="553" ht="20.25" customHeight="1" x14ac:dyDescent="0.25"/>
    <row r="554" ht="20.25" customHeight="1" x14ac:dyDescent="0.25"/>
    <row r="555" ht="20.25" customHeight="1" x14ac:dyDescent="0.25"/>
    <row r="556" ht="20.25" customHeight="1" x14ac:dyDescent="0.25"/>
    <row r="557" ht="20.25" customHeight="1" x14ac:dyDescent="0.25"/>
    <row r="558" ht="20.25" customHeight="1" x14ac:dyDescent="0.25"/>
    <row r="559" ht="20.25" customHeight="1" x14ac:dyDescent="0.25"/>
    <row r="560" ht="20.25" customHeight="1" x14ac:dyDescent="0.25"/>
    <row r="561" ht="20.25" customHeight="1" x14ac:dyDescent="0.25"/>
    <row r="562" ht="20.25" customHeight="1" x14ac:dyDescent="0.25"/>
    <row r="563" ht="20.25" customHeight="1" x14ac:dyDescent="0.25"/>
    <row r="564" ht="20.25" customHeight="1" x14ac:dyDescent="0.25"/>
    <row r="565" ht="20.25" customHeight="1" x14ac:dyDescent="0.25"/>
    <row r="566" ht="20.25" customHeight="1" x14ac:dyDescent="0.25"/>
    <row r="567" ht="20.25" customHeight="1" x14ac:dyDescent="0.25"/>
    <row r="568" ht="20.25" customHeight="1" x14ac:dyDescent="0.25"/>
    <row r="569" ht="20.25" customHeight="1" x14ac:dyDescent="0.25"/>
    <row r="570" ht="20.25" customHeight="1" x14ac:dyDescent="0.25"/>
    <row r="571" ht="20.25" customHeight="1" x14ac:dyDescent="0.25"/>
    <row r="572" ht="20.25" customHeight="1" x14ac:dyDescent="0.25"/>
    <row r="573" ht="20.25" customHeight="1" x14ac:dyDescent="0.25"/>
    <row r="574" ht="20.25" customHeight="1" x14ac:dyDescent="0.25"/>
    <row r="575" ht="20.25" customHeight="1" x14ac:dyDescent="0.25"/>
    <row r="576" ht="20.25" customHeight="1" x14ac:dyDescent="0.25"/>
    <row r="577" ht="20.25" customHeight="1" x14ac:dyDescent="0.25"/>
    <row r="578" ht="20.25" customHeight="1" x14ac:dyDescent="0.25"/>
    <row r="579" ht="20.25" customHeight="1" x14ac:dyDescent="0.25"/>
    <row r="580" ht="20.25" customHeight="1" x14ac:dyDescent="0.25"/>
    <row r="581" ht="20.25" customHeight="1" x14ac:dyDescent="0.25"/>
    <row r="582" ht="20.25" customHeight="1" x14ac:dyDescent="0.25"/>
    <row r="583" ht="20.25" customHeight="1" x14ac:dyDescent="0.25"/>
    <row r="584" ht="20.25" customHeight="1" x14ac:dyDescent="0.25"/>
    <row r="585" ht="20.25" customHeight="1" x14ac:dyDescent="0.25"/>
    <row r="586" ht="20.25" customHeight="1" x14ac:dyDescent="0.25"/>
    <row r="587" ht="20.25" customHeight="1" x14ac:dyDescent="0.25"/>
    <row r="588" ht="20.25" customHeight="1" x14ac:dyDescent="0.25"/>
    <row r="589" ht="20.25" customHeight="1" x14ac:dyDescent="0.25"/>
    <row r="590" ht="20.25" customHeight="1" x14ac:dyDescent="0.25"/>
    <row r="591" ht="20.25" customHeight="1" x14ac:dyDescent="0.25"/>
    <row r="592" ht="20.25" customHeight="1" x14ac:dyDescent="0.25"/>
    <row r="593" ht="20.25" customHeight="1" x14ac:dyDescent="0.25"/>
    <row r="594" ht="20.25" customHeight="1" x14ac:dyDescent="0.25"/>
    <row r="595" ht="20.25" customHeight="1" x14ac:dyDescent="0.25"/>
    <row r="596" ht="20.25" customHeight="1" x14ac:dyDescent="0.25"/>
    <row r="597" ht="20.25" customHeight="1" x14ac:dyDescent="0.25"/>
    <row r="598" ht="20.25" customHeight="1" x14ac:dyDescent="0.25"/>
    <row r="599" ht="20.25" customHeight="1" x14ac:dyDescent="0.25"/>
    <row r="600" ht="20.25" customHeight="1" x14ac:dyDescent="0.25"/>
    <row r="601" ht="20.25" customHeight="1" x14ac:dyDescent="0.25"/>
    <row r="602" ht="20.25" customHeight="1" x14ac:dyDescent="0.25"/>
    <row r="603" ht="20.25" customHeight="1" x14ac:dyDescent="0.25"/>
    <row r="604" ht="20.25" customHeight="1" x14ac:dyDescent="0.25"/>
    <row r="605" ht="20.25" customHeight="1" x14ac:dyDescent="0.25"/>
    <row r="606" ht="20.25" customHeight="1" x14ac:dyDescent="0.25"/>
    <row r="607" ht="20.25" customHeight="1" x14ac:dyDescent="0.25"/>
    <row r="608" ht="20.25" customHeight="1" x14ac:dyDescent="0.25"/>
    <row r="609" ht="20.25" customHeight="1" x14ac:dyDescent="0.25"/>
    <row r="610" ht="20.25" customHeight="1" x14ac:dyDescent="0.25"/>
    <row r="611" ht="20.25" customHeight="1" x14ac:dyDescent="0.25"/>
    <row r="612" ht="20.25" customHeight="1" x14ac:dyDescent="0.25"/>
    <row r="613" ht="20.25" customHeight="1" x14ac:dyDescent="0.25"/>
    <row r="614" ht="20.25" customHeight="1" x14ac:dyDescent="0.25"/>
    <row r="615" ht="20.25" customHeight="1" x14ac:dyDescent="0.25"/>
    <row r="616" ht="20.25" customHeight="1" x14ac:dyDescent="0.25"/>
    <row r="617" ht="20.25" customHeight="1" x14ac:dyDescent="0.25"/>
    <row r="618" ht="20.25" customHeight="1" x14ac:dyDescent="0.25"/>
    <row r="619" ht="20.25" customHeight="1" x14ac:dyDescent="0.25"/>
    <row r="620" ht="20.25" customHeight="1" x14ac:dyDescent="0.25"/>
    <row r="621" ht="20.25" customHeight="1" x14ac:dyDescent="0.25"/>
    <row r="622" ht="20.25" customHeight="1" x14ac:dyDescent="0.25"/>
    <row r="623" ht="20.25" customHeight="1" x14ac:dyDescent="0.25"/>
    <row r="624" ht="20.25" customHeight="1" x14ac:dyDescent="0.25"/>
    <row r="625" ht="20.25" customHeight="1" x14ac:dyDescent="0.25"/>
    <row r="626" ht="20.25" customHeight="1" x14ac:dyDescent="0.25"/>
    <row r="627" ht="20.25" customHeight="1" x14ac:dyDescent="0.25"/>
    <row r="628" ht="20.25" customHeight="1" x14ac:dyDescent="0.25"/>
    <row r="629" ht="20.25" customHeight="1" x14ac:dyDescent="0.25"/>
    <row r="630" ht="20.25" customHeight="1" x14ac:dyDescent="0.25"/>
    <row r="631" ht="20.25" customHeight="1" x14ac:dyDescent="0.25"/>
    <row r="632" ht="20.25" customHeight="1" x14ac:dyDescent="0.25"/>
    <row r="633" ht="20.25" customHeight="1" x14ac:dyDescent="0.25"/>
    <row r="634" ht="20.25" customHeight="1" x14ac:dyDescent="0.25"/>
    <row r="635" ht="20.25" customHeight="1" x14ac:dyDescent="0.25"/>
    <row r="636" ht="20.25" customHeight="1" x14ac:dyDescent="0.25"/>
    <row r="637" ht="20.25" customHeight="1" x14ac:dyDescent="0.25"/>
    <row r="638" ht="20.25" customHeight="1" x14ac:dyDescent="0.25"/>
    <row r="639" ht="20.25" customHeight="1" x14ac:dyDescent="0.25"/>
    <row r="640" ht="20.25" customHeight="1" x14ac:dyDescent="0.25"/>
    <row r="641" ht="20.25" customHeight="1" x14ac:dyDescent="0.25"/>
    <row r="642" ht="20.25" customHeight="1" x14ac:dyDescent="0.25"/>
    <row r="643" ht="20.25" customHeight="1" x14ac:dyDescent="0.25"/>
    <row r="644" ht="20.25" customHeight="1" x14ac:dyDescent="0.25"/>
    <row r="645" ht="20.25" customHeight="1" x14ac:dyDescent="0.25"/>
    <row r="646" ht="20.25" customHeight="1" x14ac:dyDescent="0.25"/>
    <row r="647" ht="20.25" customHeight="1" x14ac:dyDescent="0.25"/>
    <row r="648" ht="20.25" customHeight="1" x14ac:dyDescent="0.25"/>
    <row r="649" ht="20.25" customHeight="1" x14ac:dyDescent="0.25"/>
    <row r="650" ht="20.25" customHeight="1" x14ac:dyDescent="0.25"/>
    <row r="651" ht="20.25" customHeight="1" x14ac:dyDescent="0.25"/>
    <row r="652" ht="20.25" customHeight="1" x14ac:dyDescent="0.25"/>
    <row r="653" ht="20.25" customHeight="1" x14ac:dyDescent="0.25"/>
    <row r="654" ht="20.25" customHeight="1" x14ac:dyDescent="0.25"/>
    <row r="655" ht="20.25" customHeight="1" x14ac:dyDescent="0.25"/>
    <row r="656" ht="20.25" customHeight="1" x14ac:dyDescent="0.25"/>
    <row r="657" ht="20.25" customHeight="1" x14ac:dyDescent="0.25"/>
    <row r="658" ht="20.25" customHeight="1" x14ac:dyDescent="0.25"/>
    <row r="659" ht="20.25" customHeight="1" x14ac:dyDescent="0.25"/>
    <row r="660" ht="20.25" customHeight="1" x14ac:dyDescent="0.25"/>
    <row r="661" ht="20.25" customHeight="1" x14ac:dyDescent="0.25"/>
    <row r="662" ht="20.25" customHeight="1" x14ac:dyDescent="0.25"/>
    <row r="663" ht="20.25" customHeight="1" x14ac:dyDescent="0.25"/>
    <row r="664" ht="20.25" customHeight="1" x14ac:dyDescent="0.25"/>
    <row r="665" ht="20.25" customHeight="1" x14ac:dyDescent="0.25"/>
    <row r="666" ht="20.25" customHeight="1" x14ac:dyDescent="0.25"/>
    <row r="667" ht="20.25" customHeight="1" x14ac:dyDescent="0.25"/>
    <row r="668" ht="20.25" customHeight="1" x14ac:dyDescent="0.25"/>
    <row r="669" ht="20.25" customHeight="1" x14ac:dyDescent="0.25"/>
    <row r="670" ht="20.25" customHeight="1" x14ac:dyDescent="0.25"/>
    <row r="671" ht="20.25" customHeight="1" x14ac:dyDescent="0.25"/>
    <row r="672" ht="20.25" customHeight="1" x14ac:dyDescent="0.25"/>
    <row r="673" ht="20.25" customHeight="1" x14ac:dyDescent="0.25"/>
    <row r="674" ht="20.25" customHeight="1" x14ac:dyDescent="0.25"/>
    <row r="675" ht="20.25" customHeight="1" x14ac:dyDescent="0.25"/>
    <row r="676" ht="20.25" customHeight="1" x14ac:dyDescent="0.25"/>
    <row r="677" ht="20.25" customHeight="1" x14ac:dyDescent="0.25"/>
    <row r="678" ht="20.25" customHeight="1" x14ac:dyDescent="0.25"/>
    <row r="679" ht="20.25" customHeight="1" x14ac:dyDescent="0.25"/>
    <row r="680" ht="20.25" customHeight="1" x14ac:dyDescent="0.25"/>
    <row r="681" ht="20.25" customHeight="1" x14ac:dyDescent="0.25"/>
    <row r="682" ht="20.25" customHeight="1" x14ac:dyDescent="0.25"/>
    <row r="683" ht="20.25" customHeight="1" x14ac:dyDescent="0.25"/>
    <row r="684" ht="20.25" customHeight="1" x14ac:dyDescent="0.25"/>
    <row r="685" ht="20.25" customHeight="1" x14ac:dyDescent="0.25"/>
    <row r="686" ht="20.25" customHeight="1" x14ac:dyDescent="0.25"/>
    <row r="687" ht="20.25" customHeight="1" x14ac:dyDescent="0.25"/>
    <row r="688" ht="20.25" customHeight="1" x14ac:dyDescent="0.25"/>
    <row r="689" ht="20.25" customHeight="1" x14ac:dyDescent="0.25"/>
    <row r="690" ht="20.25" customHeight="1" x14ac:dyDescent="0.25"/>
    <row r="691" ht="20.25" customHeight="1" x14ac:dyDescent="0.25"/>
    <row r="692" ht="20.25" customHeight="1" x14ac:dyDescent="0.25"/>
    <row r="693" ht="20.25" customHeight="1" x14ac:dyDescent="0.25"/>
    <row r="694" ht="20.25" customHeight="1" x14ac:dyDescent="0.25"/>
    <row r="695" ht="20.25" customHeight="1" x14ac:dyDescent="0.25"/>
    <row r="696" ht="20.25" customHeight="1" x14ac:dyDescent="0.25"/>
    <row r="697" ht="20.25" customHeight="1" x14ac:dyDescent="0.25"/>
    <row r="698" ht="20.25" customHeight="1" x14ac:dyDescent="0.25"/>
    <row r="699" ht="20.25" customHeight="1" x14ac:dyDescent="0.25"/>
    <row r="700" ht="20.25" customHeight="1" x14ac:dyDescent="0.25"/>
    <row r="701" ht="20.25" customHeight="1" x14ac:dyDescent="0.25"/>
    <row r="702" ht="20.25" customHeight="1" x14ac:dyDescent="0.25"/>
    <row r="703" ht="20.25" customHeight="1" x14ac:dyDescent="0.25"/>
    <row r="704" ht="20.25" customHeight="1" x14ac:dyDescent="0.25"/>
    <row r="705" ht="20.25" customHeight="1" x14ac:dyDescent="0.25"/>
    <row r="706" ht="20.25" customHeight="1" x14ac:dyDescent="0.25"/>
    <row r="707" ht="20.25" customHeight="1" x14ac:dyDescent="0.25"/>
    <row r="708" ht="20.25" customHeight="1" x14ac:dyDescent="0.25"/>
    <row r="709" ht="20.25" customHeight="1" x14ac:dyDescent="0.25"/>
    <row r="710" ht="20.25" customHeight="1" x14ac:dyDescent="0.25"/>
    <row r="711" ht="20.25" customHeight="1" x14ac:dyDescent="0.25"/>
    <row r="712" ht="20.25" customHeight="1" x14ac:dyDescent="0.25"/>
    <row r="713" ht="20.25" customHeight="1" x14ac:dyDescent="0.25"/>
    <row r="714" ht="20.25" customHeight="1" x14ac:dyDescent="0.25"/>
    <row r="715" ht="20.25" customHeight="1" x14ac:dyDescent="0.25"/>
    <row r="716" ht="20.25" customHeight="1" x14ac:dyDescent="0.25"/>
    <row r="717" ht="20.25" customHeight="1" x14ac:dyDescent="0.25"/>
    <row r="718" ht="20.25" customHeight="1" x14ac:dyDescent="0.25"/>
    <row r="719" ht="20.25" customHeight="1" x14ac:dyDescent="0.25"/>
    <row r="720" ht="20.25" customHeight="1" x14ac:dyDescent="0.25"/>
    <row r="721" ht="20.25" customHeight="1" x14ac:dyDescent="0.25"/>
    <row r="722" ht="20.25" customHeight="1" x14ac:dyDescent="0.25"/>
    <row r="723" ht="20.25" customHeight="1" x14ac:dyDescent="0.25"/>
    <row r="724" ht="20.25" customHeight="1" x14ac:dyDescent="0.25"/>
    <row r="725" ht="20.25" customHeight="1" x14ac:dyDescent="0.25"/>
    <row r="726" ht="20.25" customHeight="1" x14ac:dyDescent="0.25"/>
    <row r="727" ht="20.25" customHeight="1" x14ac:dyDescent="0.25"/>
    <row r="728" ht="20.25" customHeight="1" x14ac:dyDescent="0.25"/>
    <row r="729" ht="20.25" customHeight="1" x14ac:dyDescent="0.25"/>
    <row r="730" ht="20.25" customHeight="1" x14ac:dyDescent="0.25"/>
    <row r="731" ht="20.25" customHeight="1" x14ac:dyDescent="0.25"/>
    <row r="732" ht="20.25" customHeight="1" x14ac:dyDescent="0.25"/>
    <row r="733" ht="20.25" customHeight="1" x14ac:dyDescent="0.25"/>
    <row r="734" ht="20.25" customHeight="1" x14ac:dyDescent="0.25"/>
    <row r="735" ht="20.25" customHeight="1" x14ac:dyDescent="0.25"/>
    <row r="736"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row r="746" ht="20.25" customHeight="1" x14ac:dyDescent="0.25"/>
    <row r="747" ht="20.25" customHeight="1" x14ac:dyDescent="0.25"/>
    <row r="748" ht="20.25" customHeight="1" x14ac:dyDescent="0.25"/>
    <row r="749" ht="20.25" customHeight="1" x14ac:dyDescent="0.25"/>
    <row r="750" ht="20.25" customHeight="1" x14ac:dyDescent="0.25"/>
    <row r="751" ht="20.25" customHeight="1" x14ac:dyDescent="0.25"/>
    <row r="752" ht="20.25" customHeight="1" x14ac:dyDescent="0.25"/>
    <row r="753" ht="20.25" customHeight="1" x14ac:dyDescent="0.25"/>
    <row r="754" ht="20.25" customHeight="1" x14ac:dyDescent="0.25"/>
    <row r="755" ht="20.25" customHeight="1" x14ac:dyDescent="0.25"/>
    <row r="756" ht="20.25" customHeight="1" x14ac:dyDescent="0.25"/>
    <row r="757" ht="20.25" customHeight="1" x14ac:dyDescent="0.25"/>
    <row r="758" ht="20.25" customHeight="1" x14ac:dyDescent="0.25"/>
    <row r="759" ht="20.25" customHeight="1" x14ac:dyDescent="0.25"/>
    <row r="760" ht="20.25" customHeight="1" x14ac:dyDescent="0.25"/>
    <row r="761" ht="20.25" customHeight="1" x14ac:dyDescent="0.25"/>
    <row r="762" ht="20.25" customHeight="1" x14ac:dyDescent="0.25"/>
    <row r="763" ht="20.25" customHeight="1" x14ac:dyDescent="0.25"/>
    <row r="764" ht="20.25" customHeight="1" x14ac:dyDescent="0.25"/>
    <row r="765" ht="20.25" customHeight="1" x14ac:dyDescent="0.25"/>
    <row r="766" ht="20.25" customHeight="1" x14ac:dyDescent="0.25"/>
    <row r="767" ht="20.25" customHeight="1" x14ac:dyDescent="0.25"/>
    <row r="768" ht="20.25" customHeight="1" x14ac:dyDescent="0.25"/>
    <row r="769" ht="20.25" customHeight="1" x14ac:dyDescent="0.25"/>
    <row r="770" ht="20.25" customHeight="1" x14ac:dyDescent="0.25"/>
    <row r="771" ht="20.25" customHeight="1" x14ac:dyDescent="0.25"/>
    <row r="772" ht="20.25" customHeight="1" x14ac:dyDescent="0.25"/>
    <row r="773" ht="20.25" customHeight="1" x14ac:dyDescent="0.25"/>
    <row r="774" ht="20.25" customHeight="1" x14ac:dyDescent="0.25"/>
    <row r="775" ht="20.25" customHeight="1" x14ac:dyDescent="0.25"/>
    <row r="776" ht="20.25" customHeight="1" x14ac:dyDescent="0.25"/>
    <row r="777" ht="20.25" customHeight="1" x14ac:dyDescent="0.25"/>
    <row r="778" ht="20.25" customHeight="1" x14ac:dyDescent="0.25"/>
    <row r="779" ht="20.25" customHeight="1" x14ac:dyDescent="0.25"/>
    <row r="780" ht="20.25" customHeight="1" x14ac:dyDescent="0.25"/>
    <row r="781" ht="20.25" customHeight="1" x14ac:dyDescent="0.25"/>
    <row r="782" ht="20.25" customHeight="1" x14ac:dyDescent="0.25"/>
    <row r="783" ht="20.25" customHeight="1" x14ac:dyDescent="0.25"/>
    <row r="784" ht="20.25" customHeight="1" x14ac:dyDescent="0.25"/>
    <row r="785" ht="20.25" customHeight="1" x14ac:dyDescent="0.25"/>
    <row r="786" ht="20.25" customHeight="1" x14ac:dyDescent="0.25"/>
    <row r="787" ht="20.25" customHeight="1" x14ac:dyDescent="0.25"/>
    <row r="788" ht="20.25" customHeight="1" x14ac:dyDescent="0.25"/>
    <row r="789" ht="20.25" customHeight="1" x14ac:dyDescent="0.25"/>
    <row r="790" ht="20.25" customHeight="1" x14ac:dyDescent="0.25"/>
    <row r="791" ht="20.25" customHeight="1" x14ac:dyDescent="0.25"/>
    <row r="792" ht="20.25" customHeight="1" x14ac:dyDescent="0.25"/>
    <row r="793" ht="20.25" customHeight="1" x14ac:dyDescent="0.25"/>
    <row r="794" ht="20.25" customHeight="1" x14ac:dyDescent="0.25"/>
    <row r="795" ht="20.25" customHeight="1" x14ac:dyDescent="0.25"/>
    <row r="796" ht="20.25" customHeight="1" x14ac:dyDescent="0.25"/>
    <row r="797" ht="20.25" customHeight="1" x14ac:dyDescent="0.25"/>
    <row r="798" ht="20.25" customHeight="1" x14ac:dyDescent="0.25"/>
    <row r="799" ht="20.25" customHeight="1" x14ac:dyDescent="0.25"/>
    <row r="800" ht="20.25" customHeight="1" x14ac:dyDescent="0.25"/>
    <row r="801" ht="20.25" customHeight="1" x14ac:dyDescent="0.25"/>
    <row r="802" ht="20.25" customHeight="1" x14ac:dyDescent="0.25"/>
    <row r="803" ht="20.25" customHeight="1" x14ac:dyDescent="0.25"/>
    <row r="804" ht="20.25" customHeight="1" x14ac:dyDescent="0.25"/>
    <row r="805" ht="20.25" customHeight="1" x14ac:dyDescent="0.25"/>
    <row r="806" ht="20.25" customHeight="1" x14ac:dyDescent="0.25"/>
    <row r="807" ht="20.25" customHeight="1" x14ac:dyDescent="0.25"/>
    <row r="808" ht="20.25" customHeight="1" x14ac:dyDescent="0.25"/>
    <row r="809" ht="20.25" customHeight="1" x14ac:dyDescent="0.25"/>
    <row r="810" ht="20.25" customHeight="1" x14ac:dyDescent="0.25"/>
    <row r="811" ht="20.25" customHeight="1" x14ac:dyDescent="0.25"/>
    <row r="812" ht="20.25" customHeight="1" x14ac:dyDescent="0.25"/>
    <row r="813" ht="20.25" customHeight="1" x14ac:dyDescent="0.25"/>
    <row r="814" ht="20.25" customHeight="1" x14ac:dyDescent="0.25"/>
    <row r="815" ht="20.25" customHeight="1" x14ac:dyDescent="0.25"/>
    <row r="816" ht="20.25" customHeight="1" x14ac:dyDescent="0.25"/>
    <row r="817" ht="20.25" customHeight="1" x14ac:dyDescent="0.25"/>
    <row r="818" ht="20.25" customHeight="1" x14ac:dyDescent="0.25"/>
    <row r="819" ht="20.25" customHeight="1" x14ac:dyDescent="0.25"/>
    <row r="820" ht="20.25" customHeight="1" x14ac:dyDescent="0.25"/>
    <row r="821" ht="20.25" customHeight="1" x14ac:dyDescent="0.25"/>
    <row r="822" ht="20.25" customHeight="1" x14ac:dyDescent="0.25"/>
    <row r="823" ht="20.25" customHeight="1" x14ac:dyDescent="0.25"/>
    <row r="824" ht="20.25" customHeight="1" x14ac:dyDescent="0.25"/>
    <row r="825" ht="20.25" customHeight="1" x14ac:dyDescent="0.25"/>
    <row r="826" ht="20.25" customHeight="1" x14ac:dyDescent="0.25"/>
    <row r="827" ht="20.25" customHeight="1" x14ac:dyDescent="0.25"/>
    <row r="828" ht="20.25" customHeight="1" x14ac:dyDescent="0.25"/>
    <row r="829" ht="20.25" customHeight="1" x14ac:dyDescent="0.25"/>
    <row r="830" ht="20.25" customHeight="1" x14ac:dyDescent="0.25"/>
    <row r="831" ht="20.25" customHeight="1" x14ac:dyDescent="0.25"/>
    <row r="832" ht="20.25" customHeight="1" x14ac:dyDescent="0.25"/>
    <row r="833" ht="20.25" customHeight="1" x14ac:dyDescent="0.25"/>
    <row r="834" ht="20.25" customHeight="1" x14ac:dyDescent="0.25"/>
    <row r="835" ht="20.25" customHeight="1" x14ac:dyDescent="0.25"/>
    <row r="836" ht="20.25" customHeight="1" x14ac:dyDescent="0.25"/>
    <row r="837" ht="20.25" customHeight="1" x14ac:dyDescent="0.25"/>
    <row r="838" ht="20.25" customHeight="1" x14ac:dyDescent="0.25"/>
    <row r="839" ht="20.25" customHeight="1" x14ac:dyDescent="0.25"/>
    <row r="840" ht="20.25" customHeight="1" x14ac:dyDescent="0.25"/>
    <row r="841" ht="20.25" customHeight="1" x14ac:dyDescent="0.25"/>
    <row r="842" ht="20.25" customHeight="1" x14ac:dyDescent="0.25"/>
    <row r="843" ht="20.25" customHeight="1" x14ac:dyDescent="0.25"/>
    <row r="844" ht="20.25" customHeight="1" x14ac:dyDescent="0.25"/>
    <row r="845" ht="20.25" customHeight="1" x14ac:dyDescent="0.25"/>
    <row r="846" ht="20.25" customHeight="1" x14ac:dyDescent="0.25"/>
    <row r="847" ht="20.25" customHeight="1" x14ac:dyDescent="0.25"/>
    <row r="848" ht="20.25" customHeight="1" x14ac:dyDescent="0.25"/>
    <row r="849" ht="20.25" customHeight="1" x14ac:dyDescent="0.25"/>
    <row r="850" ht="20.25" customHeight="1" x14ac:dyDescent="0.25"/>
    <row r="851" ht="20.25" customHeight="1" x14ac:dyDescent="0.25"/>
    <row r="852" ht="20.25" customHeight="1" x14ac:dyDescent="0.25"/>
    <row r="853" ht="20.25" customHeight="1" x14ac:dyDescent="0.25"/>
    <row r="854" ht="20.25" customHeight="1" x14ac:dyDescent="0.25"/>
    <row r="855" ht="20.25" customHeight="1" x14ac:dyDescent="0.25"/>
    <row r="856" ht="20.25" customHeight="1" x14ac:dyDescent="0.25"/>
    <row r="857" ht="20.25" customHeight="1" x14ac:dyDescent="0.25"/>
    <row r="858" ht="20.25" customHeight="1" x14ac:dyDescent="0.25"/>
    <row r="859" ht="20.25" customHeight="1" x14ac:dyDescent="0.25"/>
    <row r="860" ht="20.25" customHeight="1" x14ac:dyDescent="0.25"/>
    <row r="861" ht="20.25" customHeight="1" x14ac:dyDescent="0.25"/>
    <row r="862" ht="20.25" customHeight="1" x14ac:dyDescent="0.25"/>
    <row r="863" ht="20.25" customHeight="1" x14ac:dyDescent="0.25"/>
    <row r="864" ht="20.25" customHeight="1" x14ac:dyDescent="0.25"/>
    <row r="865" ht="20.25" customHeight="1" x14ac:dyDescent="0.25"/>
    <row r="866" ht="20.25" customHeight="1" x14ac:dyDescent="0.25"/>
    <row r="867" ht="20.25" customHeight="1" x14ac:dyDescent="0.25"/>
    <row r="868" ht="20.25" customHeight="1" x14ac:dyDescent="0.25"/>
    <row r="869" ht="20.25" customHeight="1" x14ac:dyDescent="0.25"/>
    <row r="870" ht="20.25" customHeight="1" x14ac:dyDescent="0.25"/>
    <row r="871" ht="20.25" customHeight="1" x14ac:dyDescent="0.25"/>
    <row r="872" ht="20.25" customHeight="1" x14ac:dyDescent="0.25"/>
    <row r="873" ht="20.25" customHeight="1" x14ac:dyDescent="0.25"/>
    <row r="874" ht="20.25" customHeight="1" x14ac:dyDescent="0.25"/>
    <row r="875" ht="20.25" customHeight="1" x14ac:dyDescent="0.25"/>
    <row r="876" ht="20.25" customHeight="1" x14ac:dyDescent="0.25"/>
    <row r="877" ht="20.25" customHeight="1" x14ac:dyDescent="0.25"/>
    <row r="878" ht="20.25" customHeight="1" x14ac:dyDescent="0.25"/>
    <row r="879" ht="20.25" customHeight="1" x14ac:dyDescent="0.25"/>
    <row r="880" ht="20.25" customHeight="1" x14ac:dyDescent="0.25"/>
    <row r="881" ht="20.25" customHeight="1" x14ac:dyDescent="0.25"/>
    <row r="882" ht="20.25" customHeight="1" x14ac:dyDescent="0.25"/>
    <row r="883" ht="20.25" customHeight="1" x14ac:dyDescent="0.25"/>
    <row r="884" ht="20.25" customHeight="1" x14ac:dyDescent="0.25"/>
    <row r="885" ht="20.25" customHeight="1" x14ac:dyDescent="0.25"/>
    <row r="886" ht="20.25" customHeight="1" x14ac:dyDescent="0.25"/>
    <row r="887" ht="20.25" customHeight="1" x14ac:dyDescent="0.25"/>
    <row r="888" ht="20.25" customHeight="1" x14ac:dyDescent="0.25"/>
    <row r="889" ht="20.25" customHeight="1" x14ac:dyDescent="0.25"/>
    <row r="890" ht="20.25" customHeight="1" x14ac:dyDescent="0.25"/>
    <row r="891" ht="20.25" customHeight="1" x14ac:dyDescent="0.25"/>
    <row r="892" ht="20.25" customHeight="1" x14ac:dyDescent="0.25"/>
    <row r="893" ht="20.25" customHeight="1" x14ac:dyDescent="0.25"/>
    <row r="894" ht="20.25" customHeight="1" x14ac:dyDescent="0.25"/>
    <row r="895" ht="20.25" customHeight="1" x14ac:dyDescent="0.25"/>
    <row r="896" ht="20.25" customHeight="1" x14ac:dyDescent="0.25"/>
    <row r="897" ht="20.25" customHeight="1" x14ac:dyDescent="0.25"/>
    <row r="898" ht="20.25" customHeight="1" x14ac:dyDescent="0.25"/>
    <row r="899" ht="20.25" customHeight="1" x14ac:dyDescent="0.25"/>
    <row r="900" ht="20.25" customHeight="1" x14ac:dyDescent="0.25"/>
    <row r="901" ht="20.25" customHeight="1" x14ac:dyDescent="0.25"/>
    <row r="902" ht="20.25" customHeight="1" x14ac:dyDescent="0.25"/>
    <row r="903" ht="20.25" customHeight="1" x14ac:dyDescent="0.25"/>
    <row r="904" ht="20.25" customHeight="1" x14ac:dyDescent="0.25"/>
    <row r="905" ht="20.25" customHeight="1" x14ac:dyDescent="0.25"/>
    <row r="906" ht="20.25" customHeight="1" x14ac:dyDescent="0.25"/>
    <row r="907" ht="20.25" customHeight="1" x14ac:dyDescent="0.25"/>
    <row r="908" ht="20.25" customHeight="1" x14ac:dyDescent="0.25"/>
    <row r="909" ht="20.25" customHeight="1" x14ac:dyDescent="0.25"/>
    <row r="910" ht="20.25" customHeight="1" x14ac:dyDescent="0.25"/>
    <row r="911" ht="20.25" customHeight="1" x14ac:dyDescent="0.25"/>
    <row r="912" ht="20.25" customHeight="1" x14ac:dyDescent="0.25"/>
    <row r="913" ht="20.25" customHeight="1" x14ac:dyDescent="0.25"/>
    <row r="914" ht="20.25" customHeight="1" x14ac:dyDescent="0.25"/>
    <row r="915" ht="20.25" customHeight="1" x14ac:dyDescent="0.25"/>
    <row r="916" ht="20.25" customHeight="1" x14ac:dyDescent="0.25"/>
    <row r="917" ht="20.25" customHeight="1" x14ac:dyDescent="0.25"/>
    <row r="918" ht="20.25" customHeight="1" x14ac:dyDescent="0.25"/>
    <row r="919" ht="20.25" customHeight="1" x14ac:dyDescent="0.25"/>
    <row r="920" ht="20.25" customHeight="1" x14ac:dyDescent="0.25"/>
    <row r="921" ht="20.25" customHeight="1" x14ac:dyDescent="0.25"/>
    <row r="922" ht="20.25" customHeight="1" x14ac:dyDescent="0.25"/>
    <row r="923" ht="20.25" customHeight="1" x14ac:dyDescent="0.25"/>
    <row r="924" ht="20.25" customHeight="1" x14ac:dyDescent="0.25"/>
    <row r="925" ht="20.25" customHeight="1" x14ac:dyDescent="0.25"/>
    <row r="926" ht="20.25" customHeight="1" x14ac:dyDescent="0.25"/>
    <row r="927" ht="20.25" customHeight="1" x14ac:dyDescent="0.25"/>
    <row r="928" ht="20.25" customHeight="1" x14ac:dyDescent="0.25"/>
    <row r="929" ht="20.25" customHeight="1" x14ac:dyDescent="0.25"/>
    <row r="930" ht="20.25" customHeight="1" x14ac:dyDescent="0.25"/>
    <row r="931" ht="20.25" customHeight="1" x14ac:dyDescent="0.25"/>
    <row r="932" ht="20.25" customHeight="1" x14ac:dyDescent="0.25"/>
    <row r="933" ht="20.25" customHeight="1" x14ac:dyDescent="0.25"/>
    <row r="934" ht="20.25" customHeight="1" x14ac:dyDescent="0.25"/>
    <row r="935" ht="20.25" customHeight="1" x14ac:dyDescent="0.25"/>
    <row r="936" ht="20.25" customHeight="1" x14ac:dyDescent="0.25"/>
    <row r="937" ht="20.25" customHeight="1" x14ac:dyDescent="0.25"/>
    <row r="938" ht="20.25" customHeight="1" x14ac:dyDescent="0.25"/>
    <row r="939" ht="20.25" customHeight="1" x14ac:dyDescent="0.25"/>
    <row r="940" ht="20.25" customHeight="1" x14ac:dyDescent="0.25"/>
    <row r="941" ht="20.25" customHeight="1" x14ac:dyDescent="0.25"/>
    <row r="942" ht="20.25" customHeight="1" x14ac:dyDescent="0.25"/>
    <row r="943" ht="20.25" customHeight="1" x14ac:dyDescent="0.25"/>
    <row r="944" ht="20.25" customHeight="1" x14ac:dyDescent="0.25"/>
    <row r="945" ht="20.25" customHeight="1" x14ac:dyDescent="0.25"/>
    <row r="946" ht="20.25" customHeight="1" x14ac:dyDescent="0.25"/>
    <row r="947" ht="20.25" customHeight="1" x14ac:dyDescent="0.25"/>
    <row r="948" ht="20.25" customHeight="1" x14ac:dyDescent="0.25"/>
    <row r="949" ht="20.25" customHeight="1" x14ac:dyDescent="0.25"/>
    <row r="950" ht="20.25" customHeight="1" x14ac:dyDescent="0.25"/>
    <row r="951" ht="20.25" customHeight="1" x14ac:dyDescent="0.25"/>
    <row r="952" ht="20.25" customHeight="1" x14ac:dyDescent="0.25"/>
    <row r="953" ht="20.25" customHeight="1" x14ac:dyDescent="0.25"/>
    <row r="954" ht="20.25" customHeight="1" x14ac:dyDescent="0.25"/>
    <row r="955" ht="20.25" customHeight="1" x14ac:dyDescent="0.25"/>
    <row r="956" ht="20.25" customHeight="1" x14ac:dyDescent="0.25"/>
    <row r="957" ht="20.25" customHeight="1" x14ac:dyDescent="0.25"/>
    <row r="958" ht="20.25" customHeight="1" x14ac:dyDescent="0.25"/>
    <row r="959" ht="20.25" customHeight="1" x14ac:dyDescent="0.25"/>
    <row r="960" ht="20.25" customHeight="1" x14ac:dyDescent="0.25"/>
    <row r="961" ht="20.25" customHeight="1" x14ac:dyDescent="0.25"/>
    <row r="962" ht="20.25" customHeight="1" x14ac:dyDescent="0.25"/>
    <row r="963" ht="20.25" customHeight="1" x14ac:dyDescent="0.25"/>
    <row r="964" ht="20.25" customHeight="1" x14ac:dyDescent="0.25"/>
    <row r="965" ht="20.25" customHeight="1" x14ac:dyDescent="0.25"/>
    <row r="966" ht="20.25" customHeight="1" x14ac:dyDescent="0.25"/>
    <row r="967" ht="20.25" customHeight="1" x14ac:dyDescent="0.25"/>
    <row r="968" ht="20.25" customHeight="1" x14ac:dyDescent="0.25"/>
    <row r="969" ht="20.25" customHeight="1" x14ac:dyDescent="0.25"/>
    <row r="970" ht="20.25" customHeight="1" x14ac:dyDescent="0.25"/>
    <row r="971" ht="20.25" customHeight="1" x14ac:dyDescent="0.25"/>
    <row r="972" ht="20.25" customHeight="1" x14ac:dyDescent="0.25"/>
    <row r="973" ht="20.25" customHeight="1" x14ac:dyDescent="0.25"/>
    <row r="974" ht="20.25" customHeight="1" x14ac:dyDescent="0.25"/>
    <row r="975" ht="20.25" customHeight="1" x14ac:dyDescent="0.25"/>
    <row r="976" ht="20.25" customHeight="1" x14ac:dyDescent="0.25"/>
    <row r="977" ht="20.25" customHeight="1" x14ac:dyDescent="0.25"/>
    <row r="978" ht="20.25" customHeight="1" x14ac:dyDescent="0.25"/>
    <row r="979" ht="20.25" customHeight="1" x14ac:dyDescent="0.25"/>
    <row r="980" ht="20.25" customHeight="1" x14ac:dyDescent="0.25"/>
    <row r="981" ht="20.25" customHeight="1" x14ac:dyDescent="0.25"/>
    <row r="982" ht="20.25" customHeight="1" x14ac:dyDescent="0.25"/>
    <row r="983" ht="20.25" customHeight="1" x14ac:dyDescent="0.25"/>
    <row r="984" ht="20.25" customHeight="1" x14ac:dyDescent="0.25"/>
    <row r="985" ht="20.25" customHeight="1" x14ac:dyDescent="0.25"/>
    <row r="986" ht="20.25" customHeight="1" x14ac:dyDescent="0.25"/>
    <row r="987" ht="20.25" customHeight="1" x14ac:dyDescent="0.25"/>
    <row r="988" ht="20.25" customHeight="1" x14ac:dyDescent="0.25"/>
    <row r="989" ht="20.25" customHeight="1" x14ac:dyDescent="0.25"/>
    <row r="990" ht="20.25" customHeight="1" x14ac:dyDescent="0.25"/>
    <row r="991" ht="20.25" customHeight="1" x14ac:dyDescent="0.25"/>
    <row r="992" ht="20.25" customHeight="1" x14ac:dyDescent="0.25"/>
    <row r="993" ht="20.25" customHeight="1" x14ac:dyDescent="0.25"/>
    <row r="994" ht="20.25" customHeight="1" x14ac:dyDescent="0.25"/>
    <row r="995" ht="20.25" customHeight="1" x14ac:dyDescent="0.25"/>
    <row r="996" ht="20.25" customHeight="1" x14ac:dyDescent="0.25"/>
    <row r="997" ht="20.25" customHeight="1" x14ac:dyDescent="0.25"/>
    <row r="998" ht="20.25" customHeight="1" x14ac:dyDescent="0.25"/>
    <row r="999" ht="20.25" customHeight="1" x14ac:dyDescent="0.25"/>
    <row r="1000" ht="20.25" customHeight="1" x14ac:dyDescent="0.25"/>
    <row r="1001" ht="20.25" customHeight="1" x14ac:dyDescent="0.25"/>
    <row r="1002" ht="20.25" customHeight="1" x14ac:dyDescent="0.25"/>
    <row r="1003" ht="20.25" customHeight="1" x14ac:dyDescent="0.25"/>
    <row r="1004" ht="20.25" customHeight="1" x14ac:dyDescent="0.25"/>
    <row r="1005" ht="20.25" customHeight="1" x14ac:dyDescent="0.25"/>
    <row r="1006" ht="20.25" customHeight="1" x14ac:dyDescent="0.25"/>
    <row r="1007" ht="20.25" customHeight="1" x14ac:dyDescent="0.25"/>
    <row r="1008" ht="20.25" customHeight="1" x14ac:dyDescent="0.25"/>
    <row r="1009" ht="20.25" customHeight="1" x14ac:dyDescent="0.25"/>
    <row r="1010" ht="20.25" customHeight="1" x14ac:dyDescent="0.25"/>
    <row r="1011" ht="20.25" customHeight="1" x14ac:dyDescent="0.25"/>
    <row r="1012" ht="20.25" customHeight="1" x14ac:dyDescent="0.25"/>
    <row r="1013" ht="20.25" customHeight="1" x14ac:dyDescent="0.25"/>
    <row r="1014" ht="20.25" customHeight="1" x14ac:dyDescent="0.25"/>
    <row r="1015" ht="20.25" customHeight="1" x14ac:dyDescent="0.25"/>
    <row r="1016" ht="20.25" customHeight="1" x14ac:dyDescent="0.25"/>
    <row r="1017" ht="20.25" customHeight="1" x14ac:dyDescent="0.25"/>
    <row r="1018" ht="20.25" customHeight="1" x14ac:dyDescent="0.25"/>
    <row r="1019" ht="20.25" customHeight="1" x14ac:dyDescent="0.25"/>
    <row r="1020" ht="20.25" customHeight="1" x14ac:dyDescent="0.25"/>
    <row r="1021" ht="20.25" customHeight="1" x14ac:dyDescent="0.25"/>
    <row r="1022" ht="20.25" customHeight="1" x14ac:dyDescent="0.25"/>
    <row r="1023" ht="20.25" customHeight="1" x14ac:dyDescent="0.25"/>
    <row r="1024" ht="20.25" customHeight="1" x14ac:dyDescent="0.25"/>
    <row r="1025" ht="20.25" customHeight="1" x14ac:dyDescent="0.25"/>
    <row r="1026" ht="20.25" customHeight="1" x14ac:dyDescent="0.25"/>
    <row r="1027" ht="20.25" customHeight="1" x14ac:dyDescent="0.25"/>
    <row r="1028" ht="20.25" customHeight="1" x14ac:dyDescent="0.25"/>
    <row r="1029" ht="20.25" customHeight="1" x14ac:dyDescent="0.25"/>
    <row r="1030" ht="20.25" customHeight="1" x14ac:dyDescent="0.25"/>
    <row r="1031" ht="20.25" customHeight="1" x14ac:dyDescent="0.25"/>
    <row r="1032" ht="20.25" customHeight="1" x14ac:dyDescent="0.25"/>
    <row r="1033" ht="20.25" customHeight="1" x14ac:dyDescent="0.25"/>
    <row r="1034" ht="20.25" customHeight="1" x14ac:dyDescent="0.25"/>
    <row r="1035" ht="20.25" customHeight="1" x14ac:dyDescent="0.25"/>
    <row r="1036" ht="20.25" customHeight="1" x14ac:dyDescent="0.25"/>
    <row r="1037" ht="20.25" customHeight="1" x14ac:dyDescent="0.25"/>
    <row r="1038" ht="20.25" customHeight="1" x14ac:dyDescent="0.25"/>
    <row r="1039" ht="20.25" customHeight="1" x14ac:dyDescent="0.25"/>
    <row r="1040" ht="20.25" customHeight="1" x14ac:dyDescent="0.25"/>
    <row r="1041" ht="20.25" customHeight="1" x14ac:dyDescent="0.25"/>
    <row r="1042" ht="20.25" customHeight="1" x14ac:dyDescent="0.25"/>
    <row r="1043" ht="20.25" customHeight="1" x14ac:dyDescent="0.25"/>
    <row r="1044" ht="20.25" customHeight="1" x14ac:dyDescent="0.25"/>
    <row r="1045" ht="20.25" customHeight="1" x14ac:dyDescent="0.25"/>
    <row r="1046" ht="20.25" customHeight="1" x14ac:dyDescent="0.25"/>
    <row r="1047" ht="20.25" customHeight="1" x14ac:dyDescent="0.25"/>
    <row r="1048" ht="20.25" customHeight="1" x14ac:dyDescent="0.25"/>
    <row r="1049" ht="20.25" customHeight="1" x14ac:dyDescent="0.25"/>
    <row r="1050" ht="20.25" customHeight="1" x14ac:dyDescent="0.25"/>
    <row r="1051" ht="20.25" customHeight="1" x14ac:dyDescent="0.25"/>
    <row r="1052" ht="20.25" customHeight="1" x14ac:dyDescent="0.25"/>
    <row r="1053" ht="20.25" customHeight="1" x14ac:dyDescent="0.25"/>
    <row r="1054" ht="20.25" customHeight="1" x14ac:dyDescent="0.25"/>
    <row r="1055" ht="20.25" customHeight="1" x14ac:dyDescent="0.25"/>
    <row r="1056" ht="20.25" customHeight="1" x14ac:dyDescent="0.25"/>
    <row r="1057" ht="20.25" customHeight="1" x14ac:dyDescent="0.25"/>
    <row r="1058" ht="20.25" customHeight="1" x14ac:dyDescent="0.25"/>
    <row r="1059" ht="20.25" customHeight="1" x14ac:dyDescent="0.25"/>
    <row r="1060" ht="20.25" customHeight="1" x14ac:dyDescent="0.25"/>
    <row r="1061" ht="20.25" customHeight="1" x14ac:dyDescent="0.25"/>
    <row r="1062" ht="20.25" customHeight="1" x14ac:dyDescent="0.25"/>
    <row r="1063" ht="20.25" customHeight="1" x14ac:dyDescent="0.25"/>
    <row r="1064" ht="20.25" customHeight="1" x14ac:dyDescent="0.25"/>
    <row r="1065" ht="20.25" customHeight="1" x14ac:dyDescent="0.25"/>
  </sheetData>
  <mergeCells count="4">
    <mergeCell ref="A4:K4"/>
    <mergeCell ref="H7:J7"/>
    <mergeCell ref="A5:K5"/>
    <mergeCell ref="J1:K1"/>
  </mergeCells>
  <pageMargins left="0.7" right="0.25" top="0.4" bottom="0.34"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9"/>
  <sheetViews>
    <sheetView workbookViewId="0">
      <selection activeCell="G14" sqref="G14"/>
    </sheetView>
  </sheetViews>
  <sheetFormatPr defaultRowHeight="15.75" x14ac:dyDescent="0.25"/>
  <cols>
    <col min="1" max="1" width="6.140625" style="99" customWidth="1"/>
    <col min="2" max="2" width="19.140625" style="99" customWidth="1"/>
    <col min="3" max="3" width="16.28515625" style="99" customWidth="1"/>
    <col min="4" max="4" width="18.7109375" style="99" customWidth="1"/>
    <col min="5" max="5" width="16" style="99" customWidth="1"/>
    <col min="6" max="6" width="14.140625" style="99" customWidth="1"/>
    <col min="7" max="16384" width="9.140625" style="99"/>
  </cols>
  <sheetData>
    <row r="1" spans="1:6" x14ac:dyDescent="0.25">
      <c r="A1" s="5" t="s">
        <v>291</v>
      </c>
      <c r="E1" s="248" t="s">
        <v>290</v>
      </c>
      <c r="F1" s="248"/>
    </row>
    <row r="2" spans="1:6" x14ac:dyDescent="0.25">
      <c r="A2" s="5" t="s">
        <v>1</v>
      </c>
    </row>
    <row r="3" spans="1:6" x14ac:dyDescent="0.25">
      <c r="A3" s="5"/>
    </row>
    <row r="4" spans="1:6" ht="16.5" x14ac:dyDescent="0.25">
      <c r="A4" s="287" t="s">
        <v>258</v>
      </c>
      <c r="B4" s="287"/>
      <c r="C4" s="287"/>
      <c r="D4" s="287"/>
      <c r="E4" s="287"/>
      <c r="F4" s="287"/>
    </row>
    <row r="5" spans="1:6" ht="16.5" x14ac:dyDescent="0.25">
      <c r="A5" s="288" t="str">
        <f>'thu chi tiet xa'!A5:K5</f>
        <v>(Kèm theo Nghị quyết số            /NQ-HĐND ngày          /12/2022 của HĐND huyện Nghi Xuân)</v>
      </c>
      <c r="B5" s="288"/>
      <c r="C5" s="288"/>
      <c r="D5" s="288"/>
      <c r="E5" s="288"/>
      <c r="F5" s="288"/>
    </row>
    <row r="6" spans="1:6" ht="20.25" customHeight="1" x14ac:dyDescent="0.25">
      <c r="E6" s="289" t="s">
        <v>230</v>
      </c>
      <c r="F6" s="289"/>
    </row>
    <row r="7" spans="1:6" s="100" customFormat="1" ht="25.5" customHeight="1" x14ac:dyDescent="0.25">
      <c r="A7" s="290" t="s">
        <v>2</v>
      </c>
      <c r="B7" s="290" t="s">
        <v>231</v>
      </c>
      <c r="C7" s="290" t="s">
        <v>259</v>
      </c>
      <c r="D7" s="290" t="s">
        <v>260</v>
      </c>
      <c r="E7" s="290"/>
      <c r="F7" s="290"/>
    </row>
    <row r="8" spans="1:6" s="100" customFormat="1" ht="44.25" customHeight="1" x14ac:dyDescent="0.25">
      <c r="A8" s="290"/>
      <c r="B8" s="290"/>
      <c r="C8" s="290"/>
      <c r="D8" s="101" t="s">
        <v>4</v>
      </c>
      <c r="E8" s="101" t="s">
        <v>261</v>
      </c>
      <c r="F8" s="101" t="s">
        <v>262</v>
      </c>
    </row>
    <row r="9" spans="1:6" s="105" customFormat="1" ht="18.75" customHeight="1" x14ac:dyDescent="0.25">
      <c r="A9" s="102">
        <v>1</v>
      </c>
      <c r="B9" s="103" t="s">
        <v>263</v>
      </c>
      <c r="C9" s="104">
        <v>9978000</v>
      </c>
      <c r="D9" s="104">
        <v>8692300</v>
      </c>
      <c r="E9" s="104">
        <v>4645900</v>
      </c>
      <c r="F9" s="104">
        <v>4046400</v>
      </c>
    </row>
    <row r="10" spans="1:6" s="105" customFormat="1" ht="18.75" customHeight="1" x14ac:dyDescent="0.25">
      <c r="A10" s="102">
        <v>2</v>
      </c>
      <c r="B10" s="103" t="s">
        <v>264</v>
      </c>
      <c r="C10" s="104">
        <v>27246500</v>
      </c>
      <c r="D10" s="104">
        <v>9723700</v>
      </c>
      <c r="E10" s="104">
        <v>4565500</v>
      </c>
      <c r="F10" s="104">
        <v>5158200</v>
      </c>
    </row>
    <row r="11" spans="1:6" s="105" customFormat="1" ht="18.75" customHeight="1" x14ac:dyDescent="0.25">
      <c r="A11" s="102">
        <v>3</v>
      </c>
      <c r="B11" s="106" t="s">
        <v>265</v>
      </c>
      <c r="C11" s="104">
        <v>9571500</v>
      </c>
      <c r="D11" s="104">
        <v>9269800</v>
      </c>
      <c r="E11" s="104">
        <v>4413000</v>
      </c>
      <c r="F11" s="104">
        <v>4856800</v>
      </c>
    </row>
    <row r="12" spans="1:6" s="105" customFormat="1" ht="18.75" customHeight="1" x14ac:dyDescent="0.25">
      <c r="A12" s="102">
        <v>4</v>
      </c>
      <c r="B12" s="106" t="s">
        <v>266</v>
      </c>
      <c r="C12" s="104">
        <v>18689000</v>
      </c>
      <c r="D12" s="104">
        <v>9053800</v>
      </c>
      <c r="E12" s="104">
        <v>4554000</v>
      </c>
      <c r="F12" s="104">
        <v>4499800</v>
      </c>
    </row>
    <row r="13" spans="1:6" s="105" customFormat="1" ht="18.75" customHeight="1" x14ac:dyDescent="0.25">
      <c r="A13" s="102">
        <v>5</v>
      </c>
      <c r="B13" s="106" t="s">
        <v>267</v>
      </c>
      <c r="C13" s="104">
        <v>8205500</v>
      </c>
      <c r="D13" s="104">
        <v>8705300</v>
      </c>
      <c r="E13" s="104">
        <v>3771500</v>
      </c>
      <c r="F13" s="104">
        <v>4933800</v>
      </c>
    </row>
    <row r="14" spans="1:6" s="105" customFormat="1" ht="18.75" customHeight="1" x14ac:dyDescent="0.25">
      <c r="A14" s="102">
        <v>6</v>
      </c>
      <c r="B14" s="106" t="s">
        <v>268</v>
      </c>
      <c r="C14" s="104">
        <v>53276500</v>
      </c>
      <c r="D14" s="104">
        <v>12205900</v>
      </c>
      <c r="E14" s="104">
        <v>7564500</v>
      </c>
      <c r="F14" s="104">
        <v>4641400</v>
      </c>
    </row>
    <row r="15" spans="1:6" s="105" customFormat="1" ht="18.75" customHeight="1" x14ac:dyDescent="0.25">
      <c r="A15" s="102">
        <v>7</v>
      </c>
      <c r="B15" s="106" t="s">
        <v>269</v>
      </c>
      <c r="C15" s="104">
        <v>14398500</v>
      </c>
      <c r="D15" s="104">
        <v>11053100</v>
      </c>
      <c r="E15" s="104">
        <v>6744900</v>
      </c>
      <c r="F15" s="104">
        <v>4308200</v>
      </c>
    </row>
    <row r="16" spans="1:6" s="105" customFormat="1" ht="18.75" customHeight="1" x14ac:dyDescent="0.25">
      <c r="A16" s="102">
        <v>8</v>
      </c>
      <c r="B16" s="106" t="s">
        <v>270</v>
      </c>
      <c r="C16" s="104">
        <v>8268000</v>
      </c>
      <c r="D16" s="104">
        <v>8977200</v>
      </c>
      <c r="E16" s="104">
        <v>3885600</v>
      </c>
      <c r="F16" s="104">
        <v>5091600</v>
      </c>
    </row>
    <row r="17" spans="1:6" s="105" customFormat="1" ht="18.75" customHeight="1" x14ac:dyDescent="0.25">
      <c r="A17" s="102">
        <v>9</v>
      </c>
      <c r="B17" s="106" t="s">
        <v>271</v>
      </c>
      <c r="C17" s="104">
        <v>9635000</v>
      </c>
      <c r="D17" s="104">
        <v>7375400</v>
      </c>
      <c r="E17" s="104">
        <v>3866000</v>
      </c>
      <c r="F17" s="104">
        <v>3509400</v>
      </c>
    </row>
    <row r="18" spans="1:6" s="105" customFormat="1" ht="18.75" customHeight="1" x14ac:dyDescent="0.25">
      <c r="A18" s="102">
        <v>10</v>
      </c>
      <c r="B18" s="106" t="s">
        <v>272</v>
      </c>
      <c r="C18" s="104">
        <v>24916000</v>
      </c>
      <c r="D18" s="104">
        <v>8941300</v>
      </c>
      <c r="E18" s="104">
        <v>4211100</v>
      </c>
      <c r="F18" s="104">
        <v>4730200</v>
      </c>
    </row>
    <row r="19" spans="1:6" s="105" customFormat="1" ht="18.75" customHeight="1" x14ac:dyDescent="0.25">
      <c r="A19" s="102">
        <v>11</v>
      </c>
      <c r="B19" s="106" t="s">
        <v>249</v>
      </c>
      <c r="C19" s="104">
        <v>9685000</v>
      </c>
      <c r="D19" s="104">
        <v>8335400</v>
      </c>
      <c r="E19" s="104">
        <v>4548000</v>
      </c>
      <c r="F19" s="104">
        <v>3787400</v>
      </c>
    </row>
    <row r="20" spans="1:6" s="105" customFormat="1" ht="18.75" customHeight="1" x14ac:dyDescent="0.25">
      <c r="A20" s="102">
        <v>12</v>
      </c>
      <c r="B20" s="106" t="s">
        <v>273</v>
      </c>
      <c r="C20" s="104">
        <v>9550000</v>
      </c>
      <c r="D20" s="104">
        <v>7624400</v>
      </c>
      <c r="E20" s="104">
        <v>3746000</v>
      </c>
      <c r="F20" s="104">
        <v>3878400</v>
      </c>
    </row>
    <row r="21" spans="1:6" s="105" customFormat="1" ht="18.75" customHeight="1" x14ac:dyDescent="0.25">
      <c r="A21" s="102">
        <v>13</v>
      </c>
      <c r="B21" s="106" t="s">
        <v>274</v>
      </c>
      <c r="C21" s="104">
        <v>9284000</v>
      </c>
      <c r="D21" s="104">
        <v>8197900</v>
      </c>
      <c r="E21" s="104">
        <v>4034500</v>
      </c>
      <c r="F21" s="104">
        <v>4163400</v>
      </c>
    </row>
    <row r="22" spans="1:6" s="105" customFormat="1" ht="18.75" customHeight="1" x14ac:dyDescent="0.25">
      <c r="A22" s="102">
        <v>14</v>
      </c>
      <c r="B22" s="106" t="s">
        <v>252</v>
      </c>
      <c r="C22" s="104">
        <v>86214000</v>
      </c>
      <c r="D22" s="104">
        <v>14469400</v>
      </c>
      <c r="E22" s="104">
        <v>11323000</v>
      </c>
      <c r="F22" s="104">
        <v>3146400</v>
      </c>
    </row>
    <row r="23" spans="1:6" s="105" customFormat="1" ht="18.75" customHeight="1" x14ac:dyDescent="0.25">
      <c r="A23" s="102">
        <v>15</v>
      </c>
      <c r="B23" s="106" t="s">
        <v>275</v>
      </c>
      <c r="C23" s="104">
        <v>7683500</v>
      </c>
      <c r="D23" s="104">
        <v>8215100</v>
      </c>
      <c r="E23" s="104">
        <v>3490500</v>
      </c>
      <c r="F23" s="104">
        <v>4724600</v>
      </c>
    </row>
    <row r="24" spans="1:6" s="105" customFormat="1" ht="18.75" customHeight="1" x14ac:dyDescent="0.25">
      <c r="A24" s="107">
        <v>16</v>
      </c>
      <c r="B24" s="106" t="s">
        <v>276</v>
      </c>
      <c r="C24" s="104">
        <v>2204000</v>
      </c>
      <c r="D24" s="108">
        <v>5166000</v>
      </c>
      <c r="E24" s="104">
        <v>1021000</v>
      </c>
      <c r="F24" s="104">
        <v>4145000</v>
      </c>
    </row>
    <row r="25" spans="1:6" s="105" customFormat="1" ht="18.75" customHeight="1" x14ac:dyDescent="0.25">
      <c r="A25" s="107">
        <v>17</v>
      </c>
      <c r="B25" s="106" t="s">
        <v>277</v>
      </c>
      <c r="C25" s="104">
        <v>5842000</v>
      </c>
      <c r="D25" s="108">
        <v>6801000</v>
      </c>
      <c r="E25" s="104">
        <v>2698000</v>
      </c>
      <c r="F25" s="104">
        <v>4103000</v>
      </c>
    </row>
    <row r="26" spans="1:6" s="105" customFormat="1" ht="22.5" customHeight="1" x14ac:dyDescent="0.25">
      <c r="A26" s="285" t="s">
        <v>278</v>
      </c>
      <c r="B26" s="286"/>
      <c r="C26" s="109">
        <f>SUM(C9:C25)</f>
        <v>314647000</v>
      </c>
      <c r="D26" s="109">
        <f>SUM(D9:D25)</f>
        <v>152807000</v>
      </c>
      <c r="E26" s="109">
        <f>SUM(E9:E25)</f>
        <v>79083000</v>
      </c>
      <c r="F26" s="109">
        <f>SUM(F9:F25)</f>
        <v>73724000</v>
      </c>
    </row>
    <row r="27" spans="1:6" ht="20.25" customHeight="1" x14ac:dyDescent="0.25"/>
    <row r="28" spans="1:6" ht="20.25" customHeight="1" x14ac:dyDescent="0.25"/>
    <row r="29" spans="1:6" ht="20.25" customHeight="1" x14ac:dyDescent="0.25"/>
    <row r="30" spans="1:6" ht="20.25" customHeight="1" x14ac:dyDescent="0.25"/>
    <row r="31" spans="1:6" ht="20.25" customHeight="1" x14ac:dyDescent="0.25"/>
    <row r="32" spans="1:6"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20.25" customHeight="1" x14ac:dyDescent="0.25"/>
    <row r="222" ht="20.25" customHeight="1" x14ac:dyDescent="0.25"/>
    <row r="223" ht="20.25" customHeight="1" x14ac:dyDescent="0.25"/>
    <row r="224" ht="20.25" customHeight="1" x14ac:dyDescent="0.25"/>
    <row r="225" ht="20.25" customHeight="1" x14ac:dyDescent="0.25"/>
    <row r="226" ht="20.25" customHeight="1" x14ac:dyDescent="0.25"/>
    <row r="227" ht="20.25" customHeight="1" x14ac:dyDescent="0.25"/>
    <row r="228" ht="20.25" customHeight="1" x14ac:dyDescent="0.25"/>
    <row r="229" ht="20.25" customHeight="1" x14ac:dyDescent="0.25"/>
    <row r="230" ht="20.25" customHeight="1" x14ac:dyDescent="0.25"/>
    <row r="231" ht="20.25" customHeight="1" x14ac:dyDescent="0.25"/>
    <row r="232" ht="20.25" customHeight="1" x14ac:dyDescent="0.25"/>
    <row r="233" ht="20.25" customHeight="1" x14ac:dyDescent="0.25"/>
    <row r="234" ht="20.25" customHeight="1" x14ac:dyDescent="0.25"/>
    <row r="235" ht="20.25" customHeight="1" x14ac:dyDescent="0.25"/>
    <row r="236" ht="20.25" customHeight="1" x14ac:dyDescent="0.25"/>
    <row r="237" ht="20.25" customHeight="1" x14ac:dyDescent="0.25"/>
    <row r="238" ht="20.25" customHeight="1" x14ac:dyDescent="0.25"/>
    <row r="239" ht="20.25" customHeight="1" x14ac:dyDescent="0.25"/>
    <row r="240" ht="20.25" customHeight="1" x14ac:dyDescent="0.25"/>
    <row r="241" ht="20.25" customHeight="1" x14ac:dyDescent="0.25"/>
    <row r="242" ht="20.25" customHeight="1" x14ac:dyDescent="0.25"/>
    <row r="243" ht="20.25" customHeight="1" x14ac:dyDescent="0.25"/>
    <row r="244" ht="20.25" customHeight="1" x14ac:dyDescent="0.25"/>
    <row r="245" ht="20.25" customHeight="1" x14ac:dyDescent="0.25"/>
    <row r="246" ht="20.25" customHeight="1" x14ac:dyDescent="0.25"/>
    <row r="247" ht="20.25" customHeight="1" x14ac:dyDescent="0.25"/>
    <row r="248" ht="20.25" customHeight="1" x14ac:dyDescent="0.25"/>
    <row r="249" ht="20.25" customHeight="1" x14ac:dyDescent="0.25"/>
    <row r="250" ht="20.25" customHeight="1" x14ac:dyDescent="0.25"/>
    <row r="251" ht="20.25" customHeight="1" x14ac:dyDescent="0.25"/>
    <row r="252" ht="20.25" customHeight="1" x14ac:dyDescent="0.25"/>
    <row r="253" ht="20.25" customHeight="1" x14ac:dyDescent="0.25"/>
    <row r="254" ht="20.25" customHeight="1" x14ac:dyDescent="0.25"/>
    <row r="255" ht="20.25" customHeight="1" x14ac:dyDescent="0.25"/>
    <row r="256" ht="20.25" customHeight="1" x14ac:dyDescent="0.25"/>
    <row r="257" ht="20.25" customHeight="1" x14ac:dyDescent="0.25"/>
    <row r="258" ht="20.25" customHeight="1" x14ac:dyDescent="0.25"/>
    <row r="259" ht="20.25" customHeight="1" x14ac:dyDescent="0.25"/>
    <row r="260" ht="20.25" customHeight="1" x14ac:dyDescent="0.25"/>
    <row r="261" ht="20.25" customHeight="1" x14ac:dyDescent="0.25"/>
    <row r="262" ht="20.25" customHeight="1" x14ac:dyDescent="0.25"/>
    <row r="263" ht="20.25" customHeight="1" x14ac:dyDescent="0.25"/>
    <row r="264" ht="20.25" customHeight="1" x14ac:dyDescent="0.25"/>
    <row r="265" ht="20.25" customHeight="1" x14ac:dyDescent="0.25"/>
    <row r="266" ht="20.25" customHeight="1" x14ac:dyDescent="0.25"/>
    <row r="267" ht="20.25" customHeight="1" x14ac:dyDescent="0.25"/>
    <row r="268" ht="20.25" customHeight="1" x14ac:dyDescent="0.25"/>
    <row r="269" ht="20.25" customHeight="1" x14ac:dyDescent="0.25"/>
    <row r="270" ht="20.25" customHeight="1" x14ac:dyDescent="0.25"/>
    <row r="271" ht="20.25" customHeight="1" x14ac:dyDescent="0.25"/>
    <row r="272" ht="20.25" customHeight="1" x14ac:dyDescent="0.25"/>
    <row r="273" ht="20.25" customHeight="1" x14ac:dyDescent="0.25"/>
    <row r="274" ht="20.25" customHeight="1" x14ac:dyDescent="0.25"/>
    <row r="275" ht="20.25" customHeight="1" x14ac:dyDescent="0.25"/>
    <row r="276" ht="20.25" customHeight="1" x14ac:dyDescent="0.25"/>
    <row r="277" ht="20.25" customHeight="1" x14ac:dyDescent="0.25"/>
    <row r="278" ht="20.25" customHeight="1" x14ac:dyDescent="0.25"/>
    <row r="279" ht="20.25" customHeight="1" x14ac:dyDescent="0.25"/>
    <row r="280" ht="20.25" customHeight="1" x14ac:dyDescent="0.25"/>
    <row r="281" ht="20.25" customHeight="1" x14ac:dyDescent="0.25"/>
    <row r="282" ht="20.25" customHeight="1" x14ac:dyDescent="0.25"/>
    <row r="283" ht="20.25" customHeight="1" x14ac:dyDescent="0.25"/>
    <row r="284" ht="20.25" customHeight="1" x14ac:dyDescent="0.25"/>
    <row r="285" ht="20.25" customHeight="1" x14ac:dyDescent="0.25"/>
    <row r="286" ht="20.25" customHeight="1" x14ac:dyDescent="0.25"/>
    <row r="287" ht="20.25" customHeight="1" x14ac:dyDescent="0.25"/>
    <row r="288" ht="20.25" customHeight="1" x14ac:dyDescent="0.25"/>
    <row r="289" ht="20.25" customHeight="1" x14ac:dyDescent="0.25"/>
    <row r="290" ht="20.25" customHeight="1" x14ac:dyDescent="0.25"/>
    <row r="291" ht="20.25" customHeight="1" x14ac:dyDescent="0.25"/>
    <row r="292" ht="20.25" customHeight="1" x14ac:dyDescent="0.25"/>
    <row r="293" ht="20.25" customHeight="1" x14ac:dyDescent="0.25"/>
    <row r="294" ht="20.25" customHeight="1" x14ac:dyDescent="0.25"/>
    <row r="295" ht="20.25" customHeight="1" x14ac:dyDescent="0.25"/>
    <row r="296" ht="20.25" customHeight="1" x14ac:dyDescent="0.25"/>
    <row r="297" ht="20.25" customHeight="1" x14ac:dyDescent="0.25"/>
    <row r="298" ht="20.25" customHeight="1" x14ac:dyDescent="0.25"/>
    <row r="299" ht="20.25" customHeight="1" x14ac:dyDescent="0.25"/>
    <row r="300" ht="20.25" customHeight="1" x14ac:dyDescent="0.25"/>
    <row r="301" ht="20.25" customHeight="1" x14ac:dyDescent="0.25"/>
    <row r="302" ht="20.25" customHeight="1" x14ac:dyDescent="0.25"/>
    <row r="303" ht="20.25" customHeight="1" x14ac:dyDescent="0.25"/>
    <row r="304" ht="20.25" customHeight="1" x14ac:dyDescent="0.25"/>
    <row r="305" ht="20.25" customHeight="1" x14ac:dyDescent="0.25"/>
    <row r="306" ht="20.25" customHeight="1" x14ac:dyDescent="0.25"/>
    <row r="307" ht="20.25" customHeight="1" x14ac:dyDescent="0.25"/>
    <row r="308" ht="20.25" customHeight="1" x14ac:dyDescent="0.25"/>
    <row r="309" ht="20.25" customHeight="1" x14ac:dyDescent="0.25"/>
    <row r="310" ht="20.25" customHeight="1" x14ac:dyDescent="0.25"/>
    <row r="311" ht="20.25" customHeight="1" x14ac:dyDescent="0.25"/>
    <row r="312" ht="20.25" customHeight="1" x14ac:dyDescent="0.25"/>
    <row r="313" ht="20.25" customHeight="1" x14ac:dyDescent="0.25"/>
    <row r="314" ht="20.25" customHeight="1" x14ac:dyDescent="0.25"/>
    <row r="315" ht="20.25" customHeight="1" x14ac:dyDescent="0.25"/>
    <row r="316" ht="20.25" customHeight="1" x14ac:dyDescent="0.25"/>
    <row r="317" ht="20.25" customHeight="1" x14ac:dyDescent="0.25"/>
    <row r="318" ht="20.25" customHeight="1" x14ac:dyDescent="0.25"/>
    <row r="319" ht="20.25" customHeight="1" x14ac:dyDescent="0.25"/>
    <row r="320" ht="20.25" customHeight="1" x14ac:dyDescent="0.25"/>
    <row r="321" ht="20.25" customHeight="1" x14ac:dyDescent="0.25"/>
    <row r="322" ht="20.25" customHeight="1" x14ac:dyDescent="0.25"/>
    <row r="323" ht="20.25" customHeight="1" x14ac:dyDescent="0.25"/>
    <row r="324" ht="20.25" customHeight="1" x14ac:dyDescent="0.25"/>
    <row r="325" ht="20.25" customHeight="1" x14ac:dyDescent="0.25"/>
    <row r="326" ht="20.25" customHeight="1" x14ac:dyDescent="0.25"/>
    <row r="327" ht="20.25" customHeight="1" x14ac:dyDescent="0.25"/>
    <row r="328" ht="20.25" customHeight="1" x14ac:dyDescent="0.25"/>
    <row r="329" ht="20.25" customHeight="1" x14ac:dyDescent="0.25"/>
    <row r="330" ht="20.25" customHeight="1" x14ac:dyDescent="0.25"/>
    <row r="331" ht="20.25" customHeight="1" x14ac:dyDescent="0.25"/>
    <row r="332" ht="20.25" customHeight="1" x14ac:dyDescent="0.25"/>
    <row r="333" ht="20.25" customHeight="1" x14ac:dyDescent="0.25"/>
    <row r="334" ht="20.25" customHeight="1" x14ac:dyDescent="0.25"/>
    <row r="335" ht="20.25" customHeight="1" x14ac:dyDescent="0.25"/>
    <row r="336" ht="20.25" customHeight="1" x14ac:dyDescent="0.25"/>
    <row r="337" ht="20.25" customHeight="1" x14ac:dyDescent="0.25"/>
    <row r="338" ht="20.25" customHeight="1" x14ac:dyDescent="0.25"/>
    <row r="339" ht="20.25" customHeight="1" x14ac:dyDescent="0.25"/>
    <row r="340" ht="20.25" customHeight="1" x14ac:dyDescent="0.25"/>
    <row r="341" ht="20.25" customHeight="1" x14ac:dyDescent="0.25"/>
    <row r="342" ht="20.25" customHeight="1" x14ac:dyDescent="0.25"/>
    <row r="343" ht="20.25" customHeight="1" x14ac:dyDescent="0.25"/>
    <row r="344" ht="20.25" customHeight="1" x14ac:dyDescent="0.25"/>
    <row r="345" ht="20.25" customHeight="1" x14ac:dyDescent="0.25"/>
    <row r="346" ht="20.25" customHeight="1" x14ac:dyDescent="0.25"/>
    <row r="347" ht="20.25" customHeight="1" x14ac:dyDescent="0.25"/>
    <row r="348" ht="20.25" customHeight="1" x14ac:dyDescent="0.25"/>
    <row r="349" ht="20.25" customHeight="1" x14ac:dyDescent="0.25"/>
    <row r="350" ht="20.25" customHeight="1" x14ac:dyDescent="0.25"/>
    <row r="351" ht="20.25" customHeight="1" x14ac:dyDescent="0.25"/>
    <row r="352" ht="20.25" customHeight="1" x14ac:dyDescent="0.25"/>
    <row r="353" ht="20.25" customHeight="1" x14ac:dyDescent="0.25"/>
    <row r="354" ht="20.25" customHeight="1" x14ac:dyDescent="0.25"/>
    <row r="355" ht="20.25" customHeight="1" x14ac:dyDescent="0.25"/>
    <row r="356" ht="20.25" customHeight="1" x14ac:dyDescent="0.25"/>
    <row r="357" ht="20.25" customHeight="1" x14ac:dyDescent="0.25"/>
    <row r="358" ht="20.25" customHeight="1" x14ac:dyDescent="0.25"/>
    <row r="359" ht="20.25" customHeight="1" x14ac:dyDescent="0.25"/>
    <row r="360" ht="20.25" customHeight="1" x14ac:dyDescent="0.25"/>
    <row r="361" ht="20.25" customHeight="1" x14ac:dyDescent="0.25"/>
    <row r="362" ht="20.25" customHeight="1" x14ac:dyDescent="0.25"/>
    <row r="363" ht="20.25" customHeight="1" x14ac:dyDescent="0.25"/>
    <row r="364" ht="20.25" customHeight="1" x14ac:dyDescent="0.25"/>
    <row r="365" ht="20.25" customHeight="1" x14ac:dyDescent="0.25"/>
    <row r="366" ht="20.25" customHeight="1" x14ac:dyDescent="0.25"/>
    <row r="367" ht="20.25" customHeight="1" x14ac:dyDescent="0.25"/>
    <row r="368"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row r="390" ht="20.25" customHeight="1" x14ac:dyDescent="0.25"/>
    <row r="391" ht="20.25" customHeight="1" x14ac:dyDescent="0.25"/>
    <row r="392" ht="20.25" customHeight="1" x14ac:dyDescent="0.25"/>
    <row r="393" ht="20.25" customHeight="1" x14ac:dyDescent="0.25"/>
    <row r="394" ht="20.25" customHeight="1" x14ac:dyDescent="0.25"/>
    <row r="395" ht="20.25" customHeight="1" x14ac:dyDescent="0.25"/>
    <row r="396" ht="20.25" customHeight="1" x14ac:dyDescent="0.25"/>
    <row r="397" ht="20.25" customHeight="1" x14ac:dyDescent="0.25"/>
    <row r="398" ht="20.25" customHeight="1" x14ac:dyDescent="0.25"/>
    <row r="399" ht="20.25" customHeight="1" x14ac:dyDescent="0.25"/>
    <row r="400" ht="20.25" customHeight="1" x14ac:dyDescent="0.25"/>
    <row r="401" ht="20.25" customHeight="1" x14ac:dyDescent="0.25"/>
    <row r="402" ht="20.25" customHeight="1" x14ac:dyDescent="0.25"/>
    <row r="403" ht="20.25" customHeight="1" x14ac:dyDescent="0.25"/>
    <row r="404" ht="20.25" customHeight="1" x14ac:dyDescent="0.25"/>
    <row r="405" ht="20.25" customHeight="1" x14ac:dyDescent="0.25"/>
    <row r="406" ht="20.25" customHeight="1" x14ac:dyDescent="0.25"/>
    <row r="407" ht="20.25" customHeight="1" x14ac:dyDescent="0.25"/>
    <row r="408" ht="20.25" customHeight="1" x14ac:dyDescent="0.25"/>
    <row r="409" ht="20.25" customHeight="1" x14ac:dyDescent="0.25"/>
    <row r="410" ht="20.25" customHeight="1" x14ac:dyDescent="0.25"/>
    <row r="411" ht="20.25" customHeight="1" x14ac:dyDescent="0.25"/>
    <row r="412" ht="20.25" customHeight="1" x14ac:dyDescent="0.25"/>
    <row r="413" ht="20.25" customHeight="1" x14ac:dyDescent="0.25"/>
    <row r="414" ht="20.25" customHeight="1" x14ac:dyDescent="0.25"/>
    <row r="415" ht="20.25" customHeight="1" x14ac:dyDescent="0.25"/>
    <row r="416" ht="20.25" customHeight="1" x14ac:dyDescent="0.25"/>
    <row r="417" ht="20.25" customHeight="1" x14ac:dyDescent="0.25"/>
    <row r="418" ht="20.25" customHeight="1" x14ac:dyDescent="0.25"/>
    <row r="419" ht="20.25" customHeight="1" x14ac:dyDescent="0.25"/>
    <row r="420" ht="20.25" customHeight="1" x14ac:dyDescent="0.25"/>
    <row r="421" ht="20.25" customHeight="1" x14ac:dyDescent="0.25"/>
    <row r="422" ht="20.25" customHeight="1" x14ac:dyDescent="0.25"/>
    <row r="423" ht="20.25" customHeight="1" x14ac:dyDescent="0.25"/>
    <row r="424" ht="20.25" customHeight="1" x14ac:dyDescent="0.25"/>
    <row r="425" ht="20.25" customHeight="1" x14ac:dyDescent="0.25"/>
    <row r="426" ht="20.25" customHeight="1" x14ac:dyDescent="0.25"/>
    <row r="427" ht="20.25" customHeight="1" x14ac:dyDescent="0.25"/>
    <row r="428" ht="20.25" customHeight="1" x14ac:dyDescent="0.25"/>
    <row r="429" ht="20.25" customHeight="1" x14ac:dyDescent="0.25"/>
    <row r="430" ht="20.25" customHeight="1" x14ac:dyDescent="0.25"/>
    <row r="431" ht="20.25" customHeight="1" x14ac:dyDescent="0.25"/>
    <row r="432" ht="20.25" customHeight="1" x14ac:dyDescent="0.25"/>
    <row r="433" ht="20.25" customHeight="1" x14ac:dyDescent="0.25"/>
    <row r="434" ht="20.25" customHeight="1" x14ac:dyDescent="0.25"/>
    <row r="435" ht="20.25" customHeight="1" x14ac:dyDescent="0.25"/>
    <row r="436" ht="20.25" customHeight="1" x14ac:dyDescent="0.25"/>
    <row r="437" ht="20.25" customHeight="1" x14ac:dyDescent="0.25"/>
    <row r="438" ht="20.25" customHeight="1" x14ac:dyDescent="0.25"/>
    <row r="439" ht="20.25" customHeight="1" x14ac:dyDescent="0.25"/>
    <row r="440" ht="20.25" customHeight="1" x14ac:dyDescent="0.25"/>
    <row r="441" ht="20.25" customHeight="1" x14ac:dyDescent="0.25"/>
    <row r="442" ht="20.25" customHeight="1" x14ac:dyDescent="0.25"/>
    <row r="443" ht="20.25" customHeight="1" x14ac:dyDescent="0.25"/>
    <row r="444" ht="20.25" customHeight="1" x14ac:dyDescent="0.25"/>
    <row r="445" ht="20.25" customHeight="1" x14ac:dyDescent="0.25"/>
    <row r="446" ht="20.25" customHeight="1" x14ac:dyDescent="0.25"/>
    <row r="447" ht="20.25" customHeight="1" x14ac:dyDescent="0.25"/>
    <row r="448" ht="20.25" customHeight="1" x14ac:dyDescent="0.25"/>
    <row r="449" ht="20.25" customHeight="1" x14ac:dyDescent="0.25"/>
    <row r="450" ht="20.25" customHeight="1" x14ac:dyDescent="0.25"/>
    <row r="451" ht="20.25" customHeight="1" x14ac:dyDescent="0.25"/>
    <row r="452" ht="20.25" customHeight="1" x14ac:dyDescent="0.25"/>
    <row r="453" ht="20.25" customHeight="1" x14ac:dyDescent="0.25"/>
    <row r="454" ht="20.25" customHeight="1" x14ac:dyDescent="0.25"/>
    <row r="455" ht="20.25" customHeight="1" x14ac:dyDescent="0.25"/>
    <row r="456" ht="20.25" customHeight="1" x14ac:dyDescent="0.25"/>
    <row r="457" ht="20.25" customHeight="1" x14ac:dyDescent="0.25"/>
    <row r="458" ht="20.25" customHeight="1" x14ac:dyDescent="0.25"/>
    <row r="459" ht="20.25" customHeight="1" x14ac:dyDescent="0.25"/>
    <row r="460" ht="20.25" customHeight="1" x14ac:dyDescent="0.25"/>
    <row r="461" ht="20.25" customHeight="1" x14ac:dyDescent="0.25"/>
    <row r="462" ht="20.25" customHeight="1" x14ac:dyDescent="0.25"/>
    <row r="463" ht="20.25" customHeight="1" x14ac:dyDescent="0.25"/>
    <row r="464" ht="20.25" customHeight="1" x14ac:dyDescent="0.25"/>
    <row r="465" ht="20.25" customHeight="1" x14ac:dyDescent="0.25"/>
    <row r="466" ht="20.25" customHeight="1" x14ac:dyDescent="0.25"/>
    <row r="467" ht="20.25" customHeight="1" x14ac:dyDescent="0.25"/>
    <row r="468" ht="20.25" customHeight="1" x14ac:dyDescent="0.25"/>
    <row r="469" ht="20.25" customHeight="1" x14ac:dyDescent="0.25"/>
    <row r="470" ht="20.25" customHeight="1" x14ac:dyDescent="0.25"/>
    <row r="471" ht="20.25" customHeight="1" x14ac:dyDescent="0.25"/>
    <row r="472" ht="20.25" customHeight="1" x14ac:dyDescent="0.25"/>
    <row r="473" ht="20.25" customHeight="1" x14ac:dyDescent="0.25"/>
    <row r="474" ht="20.25" customHeight="1" x14ac:dyDescent="0.25"/>
    <row r="475" ht="20.25" customHeight="1" x14ac:dyDescent="0.25"/>
    <row r="476" ht="20.25" customHeight="1" x14ac:dyDescent="0.25"/>
    <row r="477" ht="20.25" customHeight="1" x14ac:dyDescent="0.25"/>
    <row r="478" ht="20.25" customHeight="1" x14ac:dyDescent="0.25"/>
    <row r="479" ht="20.25" customHeight="1" x14ac:dyDescent="0.25"/>
    <row r="480" ht="20.25" customHeight="1" x14ac:dyDescent="0.25"/>
    <row r="481" ht="20.25" customHeight="1" x14ac:dyDescent="0.25"/>
    <row r="482" ht="20.25" customHeight="1" x14ac:dyDescent="0.25"/>
    <row r="483" ht="20.25" customHeight="1" x14ac:dyDescent="0.25"/>
    <row r="484" ht="20.25" customHeight="1" x14ac:dyDescent="0.25"/>
    <row r="485" ht="20.25" customHeight="1" x14ac:dyDescent="0.25"/>
    <row r="486" ht="20.25" customHeight="1" x14ac:dyDescent="0.25"/>
    <row r="487" ht="20.25" customHeight="1" x14ac:dyDescent="0.25"/>
    <row r="488" ht="20.25" customHeight="1" x14ac:dyDescent="0.25"/>
    <row r="489" ht="20.25" customHeight="1" x14ac:dyDescent="0.25"/>
    <row r="490" ht="20.25" customHeight="1" x14ac:dyDescent="0.25"/>
    <row r="491" ht="20.25" customHeight="1" x14ac:dyDescent="0.25"/>
    <row r="492" ht="20.25" customHeight="1" x14ac:dyDescent="0.25"/>
    <row r="493" ht="20.25" customHeight="1" x14ac:dyDescent="0.25"/>
    <row r="494" ht="20.25" customHeight="1" x14ac:dyDescent="0.25"/>
    <row r="495" ht="20.25" customHeight="1" x14ac:dyDescent="0.25"/>
    <row r="496" ht="20.25" customHeight="1" x14ac:dyDescent="0.25"/>
    <row r="497" ht="20.25" customHeight="1" x14ac:dyDescent="0.25"/>
    <row r="498" ht="20.25" customHeight="1" x14ac:dyDescent="0.25"/>
    <row r="499" ht="20.25" customHeight="1" x14ac:dyDescent="0.25"/>
    <row r="500" ht="20.25" customHeight="1" x14ac:dyDescent="0.25"/>
    <row r="501" ht="20.25" customHeight="1" x14ac:dyDescent="0.25"/>
    <row r="502" ht="20.25" customHeight="1" x14ac:dyDescent="0.25"/>
    <row r="503" ht="20.25" customHeight="1" x14ac:dyDescent="0.25"/>
    <row r="504" ht="20.25" customHeight="1" x14ac:dyDescent="0.25"/>
    <row r="505" ht="20.25" customHeight="1" x14ac:dyDescent="0.25"/>
    <row r="506" ht="20.25" customHeight="1" x14ac:dyDescent="0.25"/>
    <row r="507" ht="20.25" customHeight="1" x14ac:dyDescent="0.25"/>
    <row r="508" ht="20.25" customHeight="1" x14ac:dyDescent="0.25"/>
    <row r="509" ht="20.25" customHeight="1" x14ac:dyDescent="0.25"/>
    <row r="510" ht="20.25" customHeight="1" x14ac:dyDescent="0.25"/>
    <row r="511" ht="20.25" customHeight="1" x14ac:dyDescent="0.25"/>
    <row r="512" ht="20.25" customHeight="1" x14ac:dyDescent="0.25"/>
    <row r="513" ht="20.25" customHeight="1" x14ac:dyDescent="0.25"/>
    <row r="514" ht="20.25" customHeight="1" x14ac:dyDescent="0.25"/>
    <row r="515" ht="20.25" customHeight="1" x14ac:dyDescent="0.25"/>
    <row r="516" ht="20.25" customHeight="1" x14ac:dyDescent="0.25"/>
    <row r="517" ht="20.25" customHeight="1" x14ac:dyDescent="0.25"/>
    <row r="518" ht="20.25" customHeight="1" x14ac:dyDescent="0.25"/>
    <row r="519" ht="20.25" customHeight="1" x14ac:dyDescent="0.25"/>
    <row r="520" ht="20.25" customHeight="1" x14ac:dyDescent="0.25"/>
    <row r="521" ht="20.25" customHeight="1" x14ac:dyDescent="0.25"/>
    <row r="522" ht="20.25" customHeight="1" x14ac:dyDescent="0.25"/>
    <row r="523" ht="20.25" customHeight="1" x14ac:dyDescent="0.25"/>
    <row r="524" ht="20.25" customHeight="1" x14ac:dyDescent="0.25"/>
    <row r="525" ht="20.25" customHeight="1" x14ac:dyDescent="0.25"/>
    <row r="526" ht="20.25" customHeight="1" x14ac:dyDescent="0.25"/>
    <row r="527" ht="20.25" customHeight="1" x14ac:dyDescent="0.25"/>
    <row r="528" ht="20.25" customHeight="1" x14ac:dyDescent="0.25"/>
    <row r="529" ht="20.25" customHeight="1" x14ac:dyDescent="0.25"/>
    <row r="530" ht="20.25" customHeight="1" x14ac:dyDescent="0.25"/>
    <row r="531" ht="20.25" customHeight="1" x14ac:dyDescent="0.25"/>
    <row r="532" ht="20.25" customHeight="1" x14ac:dyDescent="0.25"/>
    <row r="533" ht="20.25" customHeight="1" x14ac:dyDescent="0.25"/>
    <row r="534" ht="20.25" customHeight="1" x14ac:dyDescent="0.25"/>
    <row r="535" ht="20.25" customHeight="1" x14ac:dyDescent="0.25"/>
    <row r="536" ht="20.25" customHeight="1" x14ac:dyDescent="0.25"/>
    <row r="537" ht="20.25" customHeight="1" x14ac:dyDescent="0.25"/>
    <row r="538" ht="20.25" customHeight="1" x14ac:dyDescent="0.25"/>
    <row r="539" ht="20.25" customHeight="1" x14ac:dyDescent="0.25"/>
    <row r="540" ht="20.25" customHeight="1" x14ac:dyDescent="0.25"/>
    <row r="541" ht="20.25" customHeight="1" x14ac:dyDescent="0.25"/>
    <row r="542" ht="20.25" customHeight="1" x14ac:dyDescent="0.25"/>
    <row r="543" ht="20.25" customHeight="1" x14ac:dyDescent="0.25"/>
    <row r="544" ht="20.25" customHeight="1" x14ac:dyDescent="0.25"/>
    <row r="545" ht="20.25" customHeight="1" x14ac:dyDescent="0.25"/>
    <row r="546" ht="20.25" customHeight="1" x14ac:dyDescent="0.25"/>
    <row r="547" ht="20.25" customHeight="1" x14ac:dyDescent="0.25"/>
    <row r="548" ht="20.25" customHeight="1" x14ac:dyDescent="0.25"/>
    <row r="549" ht="20.25" customHeight="1" x14ac:dyDescent="0.25"/>
    <row r="550" ht="20.25" customHeight="1" x14ac:dyDescent="0.25"/>
    <row r="551" ht="20.25" customHeight="1" x14ac:dyDescent="0.25"/>
    <row r="552" ht="20.25" customHeight="1" x14ac:dyDescent="0.25"/>
    <row r="553" ht="20.25" customHeight="1" x14ac:dyDescent="0.25"/>
    <row r="554" ht="20.25" customHeight="1" x14ac:dyDescent="0.25"/>
    <row r="555" ht="20.25" customHeight="1" x14ac:dyDescent="0.25"/>
    <row r="556" ht="20.25" customHeight="1" x14ac:dyDescent="0.25"/>
    <row r="557" ht="20.25" customHeight="1" x14ac:dyDescent="0.25"/>
    <row r="558" ht="20.25" customHeight="1" x14ac:dyDescent="0.25"/>
    <row r="559" ht="20.25" customHeight="1" x14ac:dyDescent="0.25"/>
    <row r="560" ht="20.25" customHeight="1" x14ac:dyDescent="0.25"/>
    <row r="561" ht="20.25" customHeight="1" x14ac:dyDescent="0.25"/>
    <row r="562" ht="20.25" customHeight="1" x14ac:dyDescent="0.25"/>
    <row r="563" ht="20.25" customHeight="1" x14ac:dyDescent="0.25"/>
    <row r="564" ht="20.25" customHeight="1" x14ac:dyDescent="0.25"/>
    <row r="565" ht="20.25" customHeight="1" x14ac:dyDescent="0.25"/>
    <row r="566" ht="20.25" customHeight="1" x14ac:dyDescent="0.25"/>
    <row r="567" ht="20.25" customHeight="1" x14ac:dyDescent="0.25"/>
    <row r="568" ht="20.25" customHeight="1" x14ac:dyDescent="0.25"/>
    <row r="569" ht="20.25" customHeight="1" x14ac:dyDescent="0.25"/>
    <row r="570" ht="20.25" customHeight="1" x14ac:dyDescent="0.25"/>
    <row r="571" ht="20.25" customHeight="1" x14ac:dyDescent="0.25"/>
    <row r="572" ht="20.25" customHeight="1" x14ac:dyDescent="0.25"/>
    <row r="573" ht="20.25" customHeight="1" x14ac:dyDescent="0.25"/>
    <row r="574" ht="20.25" customHeight="1" x14ac:dyDescent="0.25"/>
    <row r="575" ht="20.25" customHeight="1" x14ac:dyDescent="0.25"/>
    <row r="576" ht="20.25" customHeight="1" x14ac:dyDescent="0.25"/>
    <row r="577" ht="20.25" customHeight="1" x14ac:dyDescent="0.25"/>
    <row r="578" ht="20.25" customHeight="1" x14ac:dyDescent="0.25"/>
    <row r="579" ht="20.25" customHeight="1" x14ac:dyDescent="0.25"/>
    <row r="580" ht="20.25" customHeight="1" x14ac:dyDescent="0.25"/>
    <row r="581" ht="20.25" customHeight="1" x14ac:dyDescent="0.25"/>
    <row r="582" ht="20.25" customHeight="1" x14ac:dyDescent="0.25"/>
    <row r="583" ht="20.25" customHeight="1" x14ac:dyDescent="0.25"/>
    <row r="584" ht="20.25" customHeight="1" x14ac:dyDescent="0.25"/>
    <row r="585" ht="20.25" customHeight="1" x14ac:dyDescent="0.25"/>
    <row r="586" ht="20.25" customHeight="1" x14ac:dyDescent="0.25"/>
    <row r="587" ht="20.25" customHeight="1" x14ac:dyDescent="0.25"/>
    <row r="588" ht="20.25" customHeight="1" x14ac:dyDescent="0.25"/>
    <row r="589" ht="20.25" customHeight="1" x14ac:dyDescent="0.25"/>
    <row r="590" ht="20.25" customHeight="1" x14ac:dyDescent="0.25"/>
    <row r="591" ht="20.25" customHeight="1" x14ac:dyDescent="0.25"/>
    <row r="592" ht="20.25" customHeight="1" x14ac:dyDescent="0.25"/>
    <row r="593" ht="20.25" customHeight="1" x14ac:dyDescent="0.25"/>
    <row r="594" ht="20.25" customHeight="1" x14ac:dyDescent="0.25"/>
    <row r="595" ht="20.25" customHeight="1" x14ac:dyDescent="0.25"/>
    <row r="596" ht="20.25" customHeight="1" x14ac:dyDescent="0.25"/>
    <row r="597" ht="20.25" customHeight="1" x14ac:dyDescent="0.25"/>
    <row r="598" ht="20.25" customHeight="1" x14ac:dyDescent="0.25"/>
    <row r="599" ht="20.25" customHeight="1" x14ac:dyDescent="0.25"/>
    <row r="600" ht="20.25" customHeight="1" x14ac:dyDescent="0.25"/>
    <row r="601" ht="20.25" customHeight="1" x14ac:dyDescent="0.25"/>
    <row r="602" ht="20.25" customHeight="1" x14ac:dyDescent="0.25"/>
    <row r="603" ht="20.25" customHeight="1" x14ac:dyDescent="0.25"/>
    <row r="604" ht="20.25" customHeight="1" x14ac:dyDescent="0.25"/>
    <row r="605" ht="20.25" customHeight="1" x14ac:dyDescent="0.25"/>
    <row r="606" ht="20.25" customHeight="1" x14ac:dyDescent="0.25"/>
    <row r="607" ht="20.25" customHeight="1" x14ac:dyDescent="0.25"/>
    <row r="608" ht="20.25" customHeight="1" x14ac:dyDescent="0.25"/>
    <row r="609" ht="20.25" customHeight="1" x14ac:dyDescent="0.25"/>
    <row r="610" ht="20.25" customHeight="1" x14ac:dyDescent="0.25"/>
    <row r="611" ht="20.25" customHeight="1" x14ac:dyDescent="0.25"/>
    <row r="612" ht="20.25" customHeight="1" x14ac:dyDescent="0.25"/>
    <row r="613" ht="20.25" customHeight="1" x14ac:dyDescent="0.25"/>
    <row r="614" ht="20.25" customHeight="1" x14ac:dyDescent="0.25"/>
    <row r="615" ht="20.25" customHeight="1" x14ac:dyDescent="0.25"/>
    <row r="616" ht="20.25" customHeight="1" x14ac:dyDescent="0.25"/>
    <row r="617" ht="20.25" customHeight="1" x14ac:dyDescent="0.25"/>
    <row r="618" ht="20.25" customHeight="1" x14ac:dyDescent="0.25"/>
    <row r="619" ht="20.25" customHeight="1" x14ac:dyDescent="0.25"/>
    <row r="620" ht="20.25" customHeight="1" x14ac:dyDescent="0.25"/>
    <row r="621" ht="20.25" customHeight="1" x14ac:dyDescent="0.25"/>
    <row r="622" ht="20.25" customHeight="1" x14ac:dyDescent="0.25"/>
    <row r="623" ht="20.25" customHeight="1" x14ac:dyDescent="0.25"/>
    <row r="624" ht="20.25" customHeight="1" x14ac:dyDescent="0.25"/>
    <row r="625" ht="20.25" customHeight="1" x14ac:dyDescent="0.25"/>
    <row r="626" ht="20.25" customHeight="1" x14ac:dyDescent="0.25"/>
    <row r="627" ht="20.25" customHeight="1" x14ac:dyDescent="0.25"/>
    <row r="628" ht="20.25" customHeight="1" x14ac:dyDescent="0.25"/>
    <row r="629" ht="20.25" customHeight="1" x14ac:dyDescent="0.25"/>
    <row r="630" ht="20.25" customHeight="1" x14ac:dyDescent="0.25"/>
    <row r="631" ht="20.25" customHeight="1" x14ac:dyDescent="0.25"/>
    <row r="632" ht="20.25" customHeight="1" x14ac:dyDescent="0.25"/>
    <row r="633" ht="20.25" customHeight="1" x14ac:dyDescent="0.25"/>
    <row r="634" ht="20.25" customHeight="1" x14ac:dyDescent="0.25"/>
    <row r="635" ht="20.25" customHeight="1" x14ac:dyDescent="0.25"/>
    <row r="636" ht="20.25" customHeight="1" x14ac:dyDescent="0.25"/>
    <row r="637" ht="20.25" customHeight="1" x14ac:dyDescent="0.25"/>
    <row r="638" ht="20.25" customHeight="1" x14ac:dyDescent="0.25"/>
    <row r="639" ht="20.25" customHeight="1" x14ac:dyDescent="0.25"/>
    <row r="640" ht="20.25" customHeight="1" x14ac:dyDescent="0.25"/>
    <row r="641" ht="20.25" customHeight="1" x14ac:dyDescent="0.25"/>
    <row r="642" ht="20.25" customHeight="1" x14ac:dyDescent="0.25"/>
    <row r="643" ht="20.25" customHeight="1" x14ac:dyDescent="0.25"/>
    <row r="644" ht="20.25" customHeight="1" x14ac:dyDescent="0.25"/>
    <row r="645" ht="20.25" customHeight="1" x14ac:dyDescent="0.25"/>
    <row r="646" ht="20.25" customHeight="1" x14ac:dyDescent="0.25"/>
    <row r="647" ht="20.25" customHeight="1" x14ac:dyDescent="0.25"/>
    <row r="648" ht="20.25" customHeight="1" x14ac:dyDescent="0.25"/>
    <row r="649" ht="20.25" customHeight="1" x14ac:dyDescent="0.25"/>
    <row r="650" ht="20.25" customHeight="1" x14ac:dyDescent="0.25"/>
    <row r="651" ht="20.25" customHeight="1" x14ac:dyDescent="0.25"/>
    <row r="652" ht="20.25" customHeight="1" x14ac:dyDescent="0.25"/>
    <row r="653" ht="20.25" customHeight="1" x14ac:dyDescent="0.25"/>
    <row r="654" ht="20.25" customHeight="1" x14ac:dyDescent="0.25"/>
    <row r="655" ht="20.25" customHeight="1" x14ac:dyDescent="0.25"/>
    <row r="656" ht="20.25" customHeight="1" x14ac:dyDescent="0.25"/>
    <row r="657" ht="20.25" customHeight="1" x14ac:dyDescent="0.25"/>
    <row r="658" ht="20.25" customHeight="1" x14ac:dyDescent="0.25"/>
    <row r="659" ht="20.25" customHeight="1" x14ac:dyDescent="0.25"/>
    <row r="660" ht="20.25" customHeight="1" x14ac:dyDescent="0.25"/>
    <row r="661" ht="20.25" customHeight="1" x14ac:dyDescent="0.25"/>
    <row r="662" ht="20.25" customHeight="1" x14ac:dyDescent="0.25"/>
    <row r="663" ht="20.25" customHeight="1" x14ac:dyDescent="0.25"/>
    <row r="664" ht="20.25" customHeight="1" x14ac:dyDescent="0.25"/>
    <row r="665" ht="20.25" customHeight="1" x14ac:dyDescent="0.25"/>
    <row r="666" ht="20.25" customHeight="1" x14ac:dyDescent="0.25"/>
    <row r="667" ht="20.25" customHeight="1" x14ac:dyDescent="0.25"/>
    <row r="668" ht="20.25" customHeight="1" x14ac:dyDescent="0.25"/>
    <row r="669" ht="20.25" customHeight="1" x14ac:dyDescent="0.25"/>
    <row r="670" ht="20.25" customHeight="1" x14ac:dyDescent="0.25"/>
    <row r="671" ht="20.25" customHeight="1" x14ac:dyDescent="0.25"/>
    <row r="672" ht="20.25" customHeight="1" x14ac:dyDescent="0.25"/>
    <row r="673" ht="20.25" customHeight="1" x14ac:dyDescent="0.25"/>
    <row r="674" ht="20.25" customHeight="1" x14ac:dyDescent="0.25"/>
    <row r="675" ht="20.25" customHeight="1" x14ac:dyDescent="0.25"/>
    <row r="676" ht="20.25" customHeight="1" x14ac:dyDescent="0.25"/>
    <row r="677" ht="20.25" customHeight="1" x14ac:dyDescent="0.25"/>
    <row r="678" ht="20.25" customHeight="1" x14ac:dyDescent="0.25"/>
    <row r="679" ht="20.25" customHeight="1" x14ac:dyDescent="0.25"/>
    <row r="680" ht="20.25" customHeight="1" x14ac:dyDescent="0.25"/>
    <row r="681" ht="20.25" customHeight="1" x14ac:dyDescent="0.25"/>
    <row r="682" ht="20.25" customHeight="1" x14ac:dyDescent="0.25"/>
    <row r="683" ht="20.25" customHeight="1" x14ac:dyDescent="0.25"/>
    <row r="684" ht="20.25" customHeight="1" x14ac:dyDescent="0.25"/>
    <row r="685" ht="20.25" customHeight="1" x14ac:dyDescent="0.25"/>
    <row r="686" ht="20.25" customHeight="1" x14ac:dyDescent="0.25"/>
    <row r="687" ht="20.25" customHeight="1" x14ac:dyDescent="0.25"/>
    <row r="688" ht="20.25" customHeight="1" x14ac:dyDescent="0.25"/>
    <row r="689" ht="20.25" customHeight="1" x14ac:dyDescent="0.25"/>
    <row r="690" ht="20.25" customHeight="1" x14ac:dyDescent="0.25"/>
    <row r="691" ht="20.25" customHeight="1" x14ac:dyDescent="0.25"/>
    <row r="692" ht="20.25" customHeight="1" x14ac:dyDescent="0.25"/>
    <row r="693" ht="20.25" customHeight="1" x14ac:dyDescent="0.25"/>
    <row r="694" ht="20.25" customHeight="1" x14ac:dyDescent="0.25"/>
    <row r="695" ht="20.25" customHeight="1" x14ac:dyDescent="0.25"/>
    <row r="696" ht="20.25" customHeight="1" x14ac:dyDescent="0.25"/>
    <row r="697" ht="20.25" customHeight="1" x14ac:dyDescent="0.25"/>
    <row r="698" ht="20.25" customHeight="1" x14ac:dyDescent="0.25"/>
    <row r="699" ht="20.25" customHeight="1" x14ac:dyDescent="0.25"/>
    <row r="700" ht="20.25" customHeight="1" x14ac:dyDescent="0.25"/>
    <row r="701" ht="20.25" customHeight="1" x14ac:dyDescent="0.25"/>
    <row r="702" ht="20.25" customHeight="1" x14ac:dyDescent="0.25"/>
    <row r="703" ht="20.25" customHeight="1" x14ac:dyDescent="0.25"/>
    <row r="704" ht="20.25" customHeight="1" x14ac:dyDescent="0.25"/>
    <row r="705" ht="20.25" customHeight="1" x14ac:dyDescent="0.25"/>
    <row r="706" ht="20.25" customHeight="1" x14ac:dyDescent="0.25"/>
    <row r="707" ht="20.25" customHeight="1" x14ac:dyDescent="0.25"/>
    <row r="708" ht="20.25" customHeight="1" x14ac:dyDescent="0.25"/>
    <row r="709" ht="20.25" customHeight="1" x14ac:dyDescent="0.25"/>
    <row r="710" ht="20.25" customHeight="1" x14ac:dyDescent="0.25"/>
    <row r="711" ht="20.25" customHeight="1" x14ac:dyDescent="0.25"/>
    <row r="712" ht="20.25" customHeight="1" x14ac:dyDescent="0.25"/>
    <row r="713" ht="20.25" customHeight="1" x14ac:dyDescent="0.25"/>
    <row r="714" ht="20.25" customHeight="1" x14ac:dyDescent="0.25"/>
    <row r="715" ht="20.25" customHeight="1" x14ac:dyDescent="0.25"/>
    <row r="716" ht="20.25" customHeight="1" x14ac:dyDescent="0.25"/>
    <row r="717" ht="20.25" customHeight="1" x14ac:dyDescent="0.25"/>
    <row r="718" ht="20.25" customHeight="1" x14ac:dyDescent="0.25"/>
    <row r="719" ht="20.25" customHeight="1" x14ac:dyDescent="0.25"/>
    <row r="720" ht="20.25" customHeight="1" x14ac:dyDescent="0.25"/>
    <row r="721" ht="20.25" customHeight="1" x14ac:dyDescent="0.25"/>
    <row r="722" ht="20.25" customHeight="1" x14ac:dyDescent="0.25"/>
    <row r="723" ht="20.25" customHeight="1" x14ac:dyDescent="0.25"/>
    <row r="724" ht="20.25" customHeight="1" x14ac:dyDescent="0.25"/>
    <row r="725" ht="20.25" customHeight="1" x14ac:dyDescent="0.25"/>
    <row r="726" ht="20.25" customHeight="1" x14ac:dyDescent="0.25"/>
    <row r="727" ht="20.25" customHeight="1" x14ac:dyDescent="0.25"/>
    <row r="728" ht="20.25" customHeight="1" x14ac:dyDescent="0.25"/>
    <row r="729" ht="20.25" customHeight="1" x14ac:dyDescent="0.25"/>
    <row r="730" ht="20.25" customHeight="1" x14ac:dyDescent="0.25"/>
    <row r="731" ht="20.25" customHeight="1" x14ac:dyDescent="0.25"/>
    <row r="732" ht="20.25" customHeight="1" x14ac:dyDescent="0.25"/>
    <row r="733" ht="20.25" customHeight="1" x14ac:dyDescent="0.25"/>
    <row r="734" ht="20.25" customHeight="1" x14ac:dyDescent="0.25"/>
    <row r="735" ht="20.25" customHeight="1" x14ac:dyDescent="0.25"/>
    <row r="736"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row r="746" ht="20.25" customHeight="1" x14ac:dyDescent="0.25"/>
    <row r="747" ht="20.25" customHeight="1" x14ac:dyDescent="0.25"/>
    <row r="748" ht="20.25" customHeight="1" x14ac:dyDescent="0.25"/>
    <row r="749" ht="20.25" customHeight="1" x14ac:dyDescent="0.25"/>
    <row r="750" ht="20.25" customHeight="1" x14ac:dyDescent="0.25"/>
    <row r="751" ht="20.25" customHeight="1" x14ac:dyDescent="0.25"/>
    <row r="752" ht="20.25" customHeight="1" x14ac:dyDescent="0.25"/>
    <row r="753" ht="20.25" customHeight="1" x14ac:dyDescent="0.25"/>
    <row r="754" ht="20.25" customHeight="1" x14ac:dyDescent="0.25"/>
    <row r="755" ht="20.25" customHeight="1" x14ac:dyDescent="0.25"/>
    <row r="756" ht="20.25" customHeight="1" x14ac:dyDescent="0.25"/>
    <row r="757" ht="20.25" customHeight="1" x14ac:dyDescent="0.25"/>
    <row r="758" ht="20.25" customHeight="1" x14ac:dyDescent="0.25"/>
    <row r="759" ht="20.25" customHeight="1" x14ac:dyDescent="0.25"/>
    <row r="760" ht="20.25" customHeight="1" x14ac:dyDescent="0.25"/>
    <row r="761" ht="20.25" customHeight="1" x14ac:dyDescent="0.25"/>
    <row r="762" ht="20.25" customHeight="1" x14ac:dyDescent="0.25"/>
    <row r="763" ht="20.25" customHeight="1" x14ac:dyDescent="0.25"/>
    <row r="764" ht="20.25" customHeight="1" x14ac:dyDescent="0.25"/>
    <row r="765" ht="20.25" customHeight="1" x14ac:dyDescent="0.25"/>
    <row r="766" ht="20.25" customHeight="1" x14ac:dyDescent="0.25"/>
    <row r="767" ht="20.25" customHeight="1" x14ac:dyDescent="0.25"/>
    <row r="768" ht="20.25" customHeight="1" x14ac:dyDescent="0.25"/>
    <row r="769" ht="20.25" customHeight="1" x14ac:dyDescent="0.25"/>
    <row r="770" ht="20.25" customHeight="1" x14ac:dyDescent="0.25"/>
    <row r="771" ht="20.25" customHeight="1" x14ac:dyDescent="0.25"/>
    <row r="772" ht="20.25" customHeight="1" x14ac:dyDescent="0.25"/>
    <row r="773" ht="20.25" customHeight="1" x14ac:dyDescent="0.25"/>
    <row r="774" ht="20.25" customHeight="1" x14ac:dyDescent="0.25"/>
    <row r="775" ht="20.25" customHeight="1" x14ac:dyDescent="0.25"/>
    <row r="776" ht="20.25" customHeight="1" x14ac:dyDescent="0.25"/>
    <row r="777" ht="20.25" customHeight="1" x14ac:dyDescent="0.25"/>
    <row r="778" ht="20.25" customHeight="1" x14ac:dyDescent="0.25"/>
    <row r="779" ht="20.25" customHeight="1" x14ac:dyDescent="0.25"/>
    <row r="780" ht="20.25" customHeight="1" x14ac:dyDescent="0.25"/>
    <row r="781" ht="20.25" customHeight="1" x14ac:dyDescent="0.25"/>
    <row r="782" ht="20.25" customHeight="1" x14ac:dyDescent="0.25"/>
    <row r="783" ht="20.25" customHeight="1" x14ac:dyDescent="0.25"/>
    <row r="784" ht="20.25" customHeight="1" x14ac:dyDescent="0.25"/>
    <row r="785" ht="20.25" customHeight="1" x14ac:dyDescent="0.25"/>
    <row r="786" ht="20.25" customHeight="1" x14ac:dyDescent="0.25"/>
    <row r="787" ht="20.25" customHeight="1" x14ac:dyDescent="0.25"/>
    <row r="788" ht="20.25" customHeight="1" x14ac:dyDescent="0.25"/>
    <row r="789" ht="20.25" customHeight="1" x14ac:dyDescent="0.25"/>
    <row r="790" ht="20.25" customHeight="1" x14ac:dyDescent="0.25"/>
    <row r="791" ht="20.25" customHeight="1" x14ac:dyDescent="0.25"/>
    <row r="792" ht="20.25" customHeight="1" x14ac:dyDescent="0.25"/>
    <row r="793" ht="20.25" customHeight="1" x14ac:dyDescent="0.25"/>
    <row r="794" ht="20.25" customHeight="1" x14ac:dyDescent="0.25"/>
    <row r="795" ht="20.25" customHeight="1" x14ac:dyDescent="0.25"/>
    <row r="796" ht="20.25" customHeight="1" x14ac:dyDescent="0.25"/>
    <row r="797" ht="20.25" customHeight="1" x14ac:dyDescent="0.25"/>
    <row r="798" ht="20.25" customHeight="1" x14ac:dyDescent="0.25"/>
    <row r="799" ht="20.25" customHeight="1" x14ac:dyDescent="0.25"/>
    <row r="800" ht="20.25" customHeight="1" x14ac:dyDescent="0.25"/>
    <row r="801" ht="20.25" customHeight="1" x14ac:dyDescent="0.25"/>
    <row r="802" ht="20.25" customHeight="1" x14ac:dyDescent="0.25"/>
    <row r="803" ht="20.25" customHeight="1" x14ac:dyDescent="0.25"/>
    <row r="804" ht="20.25" customHeight="1" x14ac:dyDescent="0.25"/>
    <row r="805" ht="20.25" customHeight="1" x14ac:dyDescent="0.25"/>
    <row r="806" ht="20.25" customHeight="1" x14ac:dyDescent="0.25"/>
    <row r="807" ht="20.25" customHeight="1" x14ac:dyDescent="0.25"/>
    <row r="808" ht="20.25" customHeight="1" x14ac:dyDescent="0.25"/>
    <row r="809" ht="20.25" customHeight="1" x14ac:dyDescent="0.25"/>
    <row r="810" ht="20.25" customHeight="1" x14ac:dyDescent="0.25"/>
    <row r="811" ht="20.25" customHeight="1" x14ac:dyDescent="0.25"/>
    <row r="812" ht="20.25" customHeight="1" x14ac:dyDescent="0.25"/>
    <row r="813" ht="20.25" customHeight="1" x14ac:dyDescent="0.25"/>
    <row r="814" ht="20.25" customHeight="1" x14ac:dyDescent="0.25"/>
    <row r="815" ht="20.25" customHeight="1" x14ac:dyDescent="0.25"/>
    <row r="816" ht="20.25" customHeight="1" x14ac:dyDescent="0.25"/>
    <row r="817" ht="20.25" customHeight="1" x14ac:dyDescent="0.25"/>
    <row r="818" ht="20.25" customHeight="1" x14ac:dyDescent="0.25"/>
    <row r="819" ht="20.25" customHeight="1" x14ac:dyDescent="0.25"/>
    <row r="820" ht="20.25" customHeight="1" x14ac:dyDescent="0.25"/>
    <row r="821" ht="20.25" customHeight="1" x14ac:dyDescent="0.25"/>
    <row r="822" ht="20.25" customHeight="1" x14ac:dyDescent="0.25"/>
    <row r="823" ht="20.25" customHeight="1" x14ac:dyDescent="0.25"/>
    <row r="824" ht="20.25" customHeight="1" x14ac:dyDescent="0.25"/>
    <row r="825" ht="20.25" customHeight="1" x14ac:dyDescent="0.25"/>
    <row r="826" ht="20.25" customHeight="1" x14ac:dyDescent="0.25"/>
    <row r="827" ht="20.25" customHeight="1" x14ac:dyDescent="0.25"/>
    <row r="828" ht="20.25" customHeight="1" x14ac:dyDescent="0.25"/>
    <row r="829" ht="20.25" customHeight="1" x14ac:dyDescent="0.25"/>
    <row r="830" ht="20.25" customHeight="1" x14ac:dyDescent="0.25"/>
    <row r="831" ht="20.25" customHeight="1" x14ac:dyDescent="0.25"/>
    <row r="832" ht="20.25" customHeight="1" x14ac:dyDescent="0.25"/>
    <row r="833" ht="20.25" customHeight="1" x14ac:dyDescent="0.25"/>
    <row r="834" ht="20.25" customHeight="1" x14ac:dyDescent="0.25"/>
    <row r="835" ht="20.25" customHeight="1" x14ac:dyDescent="0.25"/>
    <row r="836" ht="20.25" customHeight="1" x14ac:dyDescent="0.25"/>
    <row r="837" ht="20.25" customHeight="1" x14ac:dyDescent="0.25"/>
    <row r="838" ht="20.25" customHeight="1" x14ac:dyDescent="0.25"/>
    <row r="839" ht="20.25" customHeight="1" x14ac:dyDescent="0.25"/>
    <row r="840" ht="20.25" customHeight="1" x14ac:dyDescent="0.25"/>
    <row r="841" ht="20.25" customHeight="1" x14ac:dyDescent="0.25"/>
    <row r="842" ht="20.25" customHeight="1" x14ac:dyDescent="0.25"/>
    <row r="843" ht="20.25" customHeight="1" x14ac:dyDescent="0.25"/>
    <row r="844" ht="20.25" customHeight="1" x14ac:dyDescent="0.25"/>
    <row r="845" ht="20.25" customHeight="1" x14ac:dyDescent="0.25"/>
    <row r="846" ht="20.25" customHeight="1" x14ac:dyDescent="0.25"/>
    <row r="847" ht="20.25" customHeight="1" x14ac:dyDescent="0.25"/>
    <row r="848" ht="20.25" customHeight="1" x14ac:dyDescent="0.25"/>
    <row r="849" ht="20.25" customHeight="1" x14ac:dyDescent="0.25"/>
    <row r="850" ht="20.25" customHeight="1" x14ac:dyDescent="0.25"/>
    <row r="851" ht="20.25" customHeight="1" x14ac:dyDescent="0.25"/>
    <row r="852" ht="20.25" customHeight="1" x14ac:dyDescent="0.25"/>
    <row r="853" ht="20.25" customHeight="1" x14ac:dyDescent="0.25"/>
    <row r="854" ht="20.25" customHeight="1" x14ac:dyDescent="0.25"/>
    <row r="855" ht="20.25" customHeight="1" x14ac:dyDescent="0.25"/>
    <row r="856" ht="20.25" customHeight="1" x14ac:dyDescent="0.25"/>
    <row r="857" ht="20.25" customHeight="1" x14ac:dyDescent="0.25"/>
    <row r="858" ht="20.25" customHeight="1" x14ac:dyDescent="0.25"/>
    <row r="859" ht="20.25" customHeight="1" x14ac:dyDescent="0.25"/>
    <row r="860" ht="20.25" customHeight="1" x14ac:dyDescent="0.25"/>
    <row r="861" ht="20.25" customHeight="1" x14ac:dyDescent="0.25"/>
    <row r="862" ht="20.25" customHeight="1" x14ac:dyDescent="0.25"/>
    <row r="863" ht="20.25" customHeight="1" x14ac:dyDescent="0.25"/>
    <row r="864" ht="20.25" customHeight="1" x14ac:dyDescent="0.25"/>
    <row r="865" ht="20.25" customHeight="1" x14ac:dyDescent="0.25"/>
    <row r="866" ht="20.25" customHeight="1" x14ac:dyDescent="0.25"/>
    <row r="867" ht="20.25" customHeight="1" x14ac:dyDescent="0.25"/>
    <row r="868" ht="20.25" customHeight="1" x14ac:dyDescent="0.25"/>
    <row r="869" ht="20.25" customHeight="1" x14ac:dyDescent="0.25"/>
    <row r="870" ht="20.25" customHeight="1" x14ac:dyDescent="0.25"/>
    <row r="871" ht="20.25" customHeight="1" x14ac:dyDescent="0.25"/>
    <row r="872" ht="20.25" customHeight="1" x14ac:dyDescent="0.25"/>
    <row r="873" ht="20.25" customHeight="1" x14ac:dyDescent="0.25"/>
    <row r="874" ht="20.25" customHeight="1" x14ac:dyDescent="0.25"/>
    <row r="875" ht="20.25" customHeight="1" x14ac:dyDescent="0.25"/>
    <row r="876" ht="20.25" customHeight="1" x14ac:dyDescent="0.25"/>
    <row r="877" ht="20.25" customHeight="1" x14ac:dyDescent="0.25"/>
    <row r="878" ht="20.25" customHeight="1" x14ac:dyDescent="0.25"/>
    <row r="879" ht="20.25" customHeight="1" x14ac:dyDescent="0.25"/>
    <row r="880" ht="20.25" customHeight="1" x14ac:dyDescent="0.25"/>
    <row r="881" ht="20.25" customHeight="1" x14ac:dyDescent="0.25"/>
    <row r="882" ht="20.25" customHeight="1" x14ac:dyDescent="0.25"/>
    <row r="883" ht="20.25" customHeight="1" x14ac:dyDescent="0.25"/>
    <row r="884" ht="20.25" customHeight="1" x14ac:dyDescent="0.25"/>
    <row r="885" ht="20.25" customHeight="1" x14ac:dyDescent="0.25"/>
    <row r="886" ht="20.25" customHeight="1" x14ac:dyDescent="0.25"/>
    <row r="887" ht="20.25" customHeight="1" x14ac:dyDescent="0.25"/>
    <row r="888" ht="20.25" customHeight="1" x14ac:dyDescent="0.25"/>
    <row r="889" ht="20.25" customHeight="1" x14ac:dyDescent="0.25"/>
    <row r="890" ht="20.25" customHeight="1" x14ac:dyDescent="0.25"/>
    <row r="891" ht="20.25" customHeight="1" x14ac:dyDescent="0.25"/>
    <row r="892" ht="20.25" customHeight="1" x14ac:dyDescent="0.25"/>
    <row r="893" ht="20.25" customHeight="1" x14ac:dyDescent="0.25"/>
    <row r="894" ht="20.25" customHeight="1" x14ac:dyDescent="0.25"/>
    <row r="895" ht="20.25" customHeight="1" x14ac:dyDescent="0.25"/>
    <row r="896" ht="20.25" customHeight="1" x14ac:dyDescent="0.25"/>
    <row r="897" ht="20.25" customHeight="1" x14ac:dyDescent="0.25"/>
    <row r="898" ht="20.25" customHeight="1" x14ac:dyDescent="0.25"/>
    <row r="899" ht="20.25" customHeight="1" x14ac:dyDescent="0.25"/>
    <row r="900" ht="20.25" customHeight="1" x14ac:dyDescent="0.25"/>
    <row r="901" ht="20.25" customHeight="1" x14ac:dyDescent="0.25"/>
    <row r="902" ht="20.25" customHeight="1" x14ac:dyDescent="0.25"/>
    <row r="903" ht="20.25" customHeight="1" x14ac:dyDescent="0.25"/>
    <row r="904" ht="20.25" customHeight="1" x14ac:dyDescent="0.25"/>
    <row r="905" ht="20.25" customHeight="1" x14ac:dyDescent="0.25"/>
    <row r="906" ht="20.25" customHeight="1" x14ac:dyDescent="0.25"/>
    <row r="907" ht="20.25" customHeight="1" x14ac:dyDescent="0.25"/>
    <row r="908" ht="20.25" customHeight="1" x14ac:dyDescent="0.25"/>
    <row r="909" ht="20.25" customHeight="1" x14ac:dyDescent="0.25"/>
    <row r="910" ht="20.25" customHeight="1" x14ac:dyDescent="0.25"/>
    <row r="911" ht="20.25" customHeight="1" x14ac:dyDescent="0.25"/>
    <row r="912" ht="20.25" customHeight="1" x14ac:dyDescent="0.25"/>
    <row r="913" ht="20.25" customHeight="1" x14ac:dyDescent="0.25"/>
    <row r="914" ht="20.25" customHeight="1" x14ac:dyDescent="0.25"/>
    <row r="915" ht="20.25" customHeight="1" x14ac:dyDescent="0.25"/>
    <row r="916" ht="20.25" customHeight="1" x14ac:dyDescent="0.25"/>
    <row r="917" ht="20.25" customHeight="1" x14ac:dyDescent="0.25"/>
    <row r="918" ht="20.25" customHeight="1" x14ac:dyDescent="0.25"/>
    <row r="919" ht="20.25" customHeight="1" x14ac:dyDescent="0.25"/>
    <row r="920" ht="20.25" customHeight="1" x14ac:dyDescent="0.25"/>
    <row r="921" ht="20.25" customHeight="1" x14ac:dyDescent="0.25"/>
    <row r="922" ht="20.25" customHeight="1" x14ac:dyDescent="0.25"/>
    <row r="923" ht="20.25" customHeight="1" x14ac:dyDescent="0.25"/>
    <row r="924" ht="20.25" customHeight="1" x14ac:dyDescent="0.25"/>
    <row r="925" ht="20.25" customHeight="1" x14ac:dyDescent="0.25"/>
    <row r="926" ht="20.25" customHeight="1" x14ac:dyDescent="0.25"/>
    <row r="927" ht="20.25" customHeight="1" x14ac:dyDescent="0.25"/>
    <row r="928" ht="20.25" customHeight="1" x14ac:dyDescent="0.25"/>
    <row r="929" ht="20.25" customHeight="1" x14ac:dyDescent="0.25"/>
    <row r="930" ht="20.25" customHeight="1" x14ac:dyDescent="0.25"/>
    <row r="931" ht="20.25" customHeight="1" x14ac:dyDescent="0.25"/>
    <row r="932" ht="20.25" customHeight="1" x14ac:dyDescent="0.25"/>
    <row r="933" ht="20.25" customHeight="1" x14ac:dyDescent="0.25"/>
    <row r="934" ht="20.25" customHeight="1" x14ac:dyDescent="0.25"/>
    <row r="935" ht="20.25" customHeight="1" x14ac:dyDescent="0.25"/>
    <row r="936" ht="20.25" customHeight="1" x14ac:dyDescent="0.25"/>
    <row r="937" ht="20.25" customHeight="1" x14ac:dyDescent="0.25"/>
    <row r="938" ht="20.25" customHeight="1" x14ac:dyDescent="0.25"/>
    <row r="939" ht="20.25" customHeight="1" x14ac:dyDescent="0.25"/>
    <row r="940" ht="20.25" customHeight="1" x14ac:dyDescent="0.25"/>
    <row r="941" ht="20.25" customHeight="1" x14ac:dyDescent="0.25"/>
    <row r="942" ht="20.25" customHeight="1" x14ac:dyDescent="0.25"/>
    <row r="943" ht="20.25" customHeight="1" x14ac:dyDescent="0.25"/>
    <row r="944" ht="20.25" customHeight="1" x14ac:dyDescent="0.25"/>
    <row r="945" ht="20.25" customHeight="1" x14ac:dyDescent="0.25"/>
    <row r="946" ht="20.25" customHeight="1" x14ac:dyDescent="0.25"/>
    <row r="947" ht="20.25" customHeight="1" x14ac:dyDescent="0.25"/>
    <row r="948" ht="20.25" customHeight="1" x14ac:dyDescent="0.25"/>
    <row r="949" ht="20.25" customHeight="1" x14ac:dyDescent="0.25"/>
    <row r="950" ht="20.25" customHeight="1" x14ac:dyDescent="0.25"/>
    <row r="951" ht="20.25" customHeight="1" x14ac:dyDescent="0.25"/>
    <row r="952" ht="20.25" customHeight="1" x14ac:dyDescent="0.25"/>
    <row r="953" ht="20.25" customHeight="1" x14ac:dyDescent="0.25"/>
    <row r="954" ht="20.25" customHeight="1" x14ac:dyDescent="0.25"/>
    <row r="955" ht="20.25" customHeight="1" x14ac:dyDescent="0.25"/>
    <row r="956" ht="20.25" customHeight="1" x14ac:dyDescent="0.25"/>
    <row r="957" ht="20.25" customHeight="1" x14ac:dyDescent="0.25"/>
    <row r="958" ht="20.25" customHeight="1" x14ac:dyDescent="0.25"/>
    <row r="959" ht="20.25" customHeight="1" x14ac:dyDescent="0.25"/>
    <row r="960" ht="20.25" customHeight="1" x14ac:dyDescent="0.25"/>
    <row r="961" ht="20.25" customHeight="1" x14ac:dyDescent="0.25"/>
    <row r="962" ht="20.25" customHeight="1" x14ac:dyDescent="0.25"/>
    <row r="963" ht="20.25" customHeight="1" x14ac:dyDescent="0.25"/>
    <row r="964" ht="20.25" customHeight="1" x14ac:dyDescent="0.25"/>
    <row r="965" ht="20.25" customHeight="1" x14ac:dyDescent="0.25"/>
    <row r="966" ht="20.25" customHeight="1" x14ac:dyDescent="0.25"/>
    <row r="967" ht="20.25" customHeight="1" x14ac:dyDescent="0.25"/>
    <row r="968" ht="20.25" customHeight="1" x14ac:dyDescent="0.25"/>
    <row r="969" ht="20.25" customHeight="1" x14ac:dyDescent="0.25"/>
    <row r="970" ht="20.25" customHeight="1" x14ac:dyDescent="0.25"/>
    <row r="971" ht="20.25" customHeight="1" x14ac:dyDescent="0.25"/>
    <row r="972" ht="20.25" customHeight="1" x14ac:dyDescent="0.25"/>
    <row r="973" ht="20.25" customHeight="1" x14ac:dyDescent="0.25"/>
    <row r="974" ht="20.25" customHeight="1" x14ac:dyDescent="0.25"/>
    <row r="975" ht="20.25" customHeight="1" x14ac:dyDescent="0.25"/>
    <row r="976" ht="20.25" customHeight="1" x14ac:dyDescent="0.25"/>
    <row r="977" ht="20.25" customHeight="1" x14ac:dyDescent="0.25"/>
    <row r="978" ht="20.25" customHeight="1" x14ac:dyDescent="0.25"/>
    <row r="979" ht="20.25" customHeight="1" x14ac:dyDescent="0.25"/>
    <row r="980" ht="20.25" customHeight="1" x14ac:dyDescent="0.25"/>
    <row r="981" ht="20.25" customHeight="1" x14ac:dyDescent="0.25"/>
    <row r="982" ht="20.25" customHeight="1" x14ac:dyDescent="0.25"/>
    <row r="983" ht="20.25" customHeight="1" x14ac:dyDescent="0.25"/>
    <row r="984" ht="20.25" customHeight="1" x14ac:dyDescent="0.25"/>
    <row r="985" ht="20.25" customHeight="1" x14ac:dyDescent="0.25"/>
    <row r="986" ht="20.25" customHeight="1" x14ac:dyDescent="0.25"/>
    <row r="987" ht="20.25" customHeight="1" x14ac:dyDescent="0.25"/>
    <row r="988" ht="20.25" customHeight="1" x14ac:dyDescent="0.25"/>
    <row r="989" ht="20.25" customHeight="1" x14ac:dyDescent="0.25"/>
    <row r="990" ht="20.25" customHeight="1" x14ac:dyDescent="0.25"/>
    <row r="991" ht="20.25" customHeight="1" x14ac:dyDescent="0.25"/>
    <row r="992" ht="20.25" customHeight="1" x14ac:dyDescent="0.25"/>
    <row r="993" ht="20.25" customHeight="1" x14ac:dyDescent="0.25"/>
    <row r="994" ht="20.25" customHeight="1" x14ac:dyDescent="0.25"/>
    <row r="995" ht="20.25" customHeight="1" x14ac:dyDescent="0.25"/>
    <row r="996" ht="20.25" customHeight="1" x14ac:dyDescent="0.25"/>
    <row r="997" ht="20.25" customHeight="1" x14ac:dyDescent="0.25"/>
    <row r="998" ht="20.25" customHeight="1" x14ac:dyDescent="0.25"/>
    <row r="999" ht="20.25" customHeight="1" x14ac:dyDescent="0.25"/>
    <row r="1000" ht="20.25" customHeight="1" x14ac:dyDescent="0.25"/>
    <row r="1001" ht="20.25" customHeight="1" x14ac:dyDescent="0.25"/>
    <row r="1002" ht="20.25" customHeight="1" x14ac:dyDescent="0.25"/>
    <row r="1003" ht="20.25" customHeight="1" x14ac:dyDescent="0.25"/>
    <row r="1004" ht="20.25" customHeight="1" x14ac:dyDescent="0.25"/>
    <row r="1005" ht="20.25" customHeight="1" x14ac:dyDescent="0.25"/>
    <row r="1006" ht="20.25" customHeight="1" x14ac:dyDescent="0.25"/>
    <row r="1007" ht="20.25" customHeight="1" x14ac:dyDescent="0.25"/>
    <row r="1008" ht="20.25" customHeight="1" x14ac:dyDescent="0.25"/>
    <row r="1009" ht="20.25" customHeight="1" x14ac:dyDescent="0.25"/>
    <row r="1010" ht="20.25" customHeight="1" x14ac:dyDescent="0.25"/>
    <row r="1011" ht="20.25" customHeight="1" x14ac:dyDescent="0.25"/>
    <row r="1012" ht="20.25" customHeight="1" x14ac:dyDescent="0.25"/>
    <row r="1013" ht="20.25" customHeight="1" x14ac:dyDescent="0.25"/>
    <row r="1014" ht="20.25" customHeight="1" x14ac:dyDescent="0.25"/>
    <row r="1015" ht="20.25" customHeight="1" x14ac:dyDescent="0.25"/>
    <row r="1016" ht="20.25" customHeight="1" x14ac:dyDescent="0.25"/>
    <row r="1017" ht="20.25" customHeight="1" x14ac:dyDescent="0.25"/>
    <row r="1018" ht="20.25" customHeight="1" x14ac:dyDescent="0.25"/>
    <row r="1019" ht="20.25" customHeight="1" x14ac:dyDescent="0.25"/>
    <row r="1020" ht="20.25" customHeight="1" x14ac:dyDescent="0.25"/>
    <row r="1021" ht="20.25" customHeight="1" x14ac:dyDescent="0.25"/>
    <row r="1022" ht="20.25" customHeight="1" x14ac:dyDescent="0.25"/>
    <row r="1023" ht="20.25" customHeight="1" x14ac:dyDescent="0.25"/>
    <row r="1024" ht="20.25" customHeight="1" x14ac:dyDescent="0.25"/>
    <row r="1025" ht="20.25" customHeight="1" x14ac:dyDescent="0.25"/>
    <row r="1026" ht="20.25" customHeight="1" x14ac:dyDescent="0.25"/>
    <row r="1027" ht="20.25" customHeight="1" x14ac:dyDescent="0.25"/>
    <row r="1028" ht="20.25" customHeight="1" x14ac:dyDescent="0.25"/>
    <row r="1029" ht="20.25" customHeight="1" x14ac:dyDescent="0.25"/>
    <row r="1030" ht="20.25" customHeight="1" x14ac:dyDescent="0.25"/>
    <row r="1031" ht="20.25" customHeight="1" x14ac:dyDescent="0.25"/>
    <row r="1032" ht="20.25" customHeight="1" x14ac:dyDescent="0.25"/>
    <row r="1033" ht="20.25" customHeight="1" x14ac:dyDescent="0.25"/>
    <row r="1034" ht="20.25" customHeight="1" x14ac:dyDescent="0.25"/>
    <row r="1035" ht="20.25" customHeight="1" x14ac:dyDescent="0.25"/>
    <row r="1036" ht="20.25" customHeight="1" x14ac:dyDescent="0.25"/>
    <row r="1037" ht="20.25" customHeight="1" x14ac:dyDescent="0.25"/>
    <row r="1038" ht="20.25" customHeight="1" x14ac:dyDescent="0.25"/>
    <row r="1039" ht="20.25" customHeight="1" x14ac:dyDescent="0.25"/>
    <row r="1040" ht="20.25" customHeight="1" x14ac:dyDescent="0.25"/>
    <row r="1041" ht="20.25" customHeight="1" x14ac:dyDescent="0.25"/>
    <row r="1042" ht="20.25" customHeight="1" x14ac:dyDescent="0.25"/>
    <row r="1043" ht="20.25" customHeight="1" x14ac:dyDescent="0.25"/>
    <row r="1044" ht="20.25" customHeight="1" x14ac:dyDescent="0.25"/>
    <row r="1045" ht="20.25" customHeight="1" x14ac:dyDescent="0.25"/>
    <row r="1046" ht="20.25" customHeight="1" x14ac:dyDescent="0.25"/>
    <row r="1047" ht="20.25" customHeight="1" x14ac:dyDescent="0.25"/>
    <row r="1048" ht="20.25" customHeight="1" x14ac:dyDescent="0.25"/>
    <row r="1049" ht="20.25" customHeight="1" x14ac:dyDescent="0.25"/>
    <row r="1050" ht="20.25" customHeight="1" x14ac:dyDescent="0.25"/>
    <row r="1051" ht="20.25" customHeight="1" x14ac:dyDescent="0.25"/>
    <row r="1052" ht="20.25" customHeight="1" x14ac:dyDescent="0.25"/>
    <row r="1053" ht="20.25" customHeight="1" x14ac:dyDescent="0.25"/>
    <row r="1054" ht="20.25" customHeight="1" x14ac:dyDescent="0.25"/>
    <row r="1055" ht="20.25" customHeight="1" x14ac:dyDescent="0.25"/>
    <row r="1056" ht="20.25" customHeight="1" x14ac:dyDescent="0.25"/>
    <row r="1057" ht="20.25" customHeight="1" x14ac:dyDescent="0.25"/>
    <row r="1058" ht="20.25" customHeight="1" x14ac:dyDescent="0.25"/>
    <row r="1059" ht="20.25" customHeight="1" x14ac:dyDescent="0.25"/>
    <row r="1060" ht="20.25" customHeight="1" x14ac:dyDescent="0.25"/>
    <row r="1061" ht="20.25" customHeight="1" x14ac:dyDescent="0.25"/>
    <row r="1062" ht="20.25" customHeight="1" x14ac:dyDescent="0.25"/>
    <row r="1063" ht="20.25" customHeight="1" x14ac:dyDescent="0.25"/>
    <row r="1064" ht="20.25" customHeight="1" x14ac:dyDescent="0.25"/>
    <row r="1065" ht="20.25" customHeight="1" x14ac:dyDescent="0.25"/>
    <row r="1066" ht="20.25" customHeight="1" x14ac:dyDescent="0.25"/>
    <row r="1067" ht="20.25" customHeight="1" x14ac:dyDescent="0.25"/>
    <row r="1068" ht="20.25" customHeight="1" x14ac:dyDescent="0.25"/>
    <row r="1069" ht="20.25" customHeight="1" x14ac:dyDescent="0.25"/>
  </sheetData>
  <mergeCells count="9">
    <mergeCell ref="A26:B26"/>
    <mergeCell ref="E1:F1"/>
    <mergeCell ref="A4:F4"/>
    <mergeCell ref="A5:F5"/>
    <mergeCell ref="E6:F6"/>
    <mergeCell ref="A7:A8"/>
    <mergeCell ref="B7:B8"/>
    <mergeCell ref="C7:C8"/>
    <mergeCell ref="D7:F7"/>
  </mergeCells>
  <pageMargins left="0.7" right="0.3" top="0.57999999999999996"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6"/>
  <sheetViews>
    <sheetView workbookViewId="0">
      <selection activeCell="G14" sqref="G14"/>
    </sheetView>
  </sheetViews>
  <sheetFormatPr defaultRowHeight="15.75" x14ac:dyDescent="0.25"/>
  <cols>
    <col min="1" max="1" width="6.28515625" style="99" customWidth="1"/>
    <col min="2" max="2" width="21.140625" style="99" customWidth="1"/>
    <col min="3" max="3" width="18.28515625" style="99" customWidth="1"/>
    <col min="4" max="4" width="14.42578125" style="99" customWidth="1"/>
    <col min="5" max="5" width="14.140625" style="99" customWidth="1"/>
    <col min="6" max="6" width="14.5703125" style="99" customWidth="1"/>
    <col min="7" max="16384" width="9.140625" style="99"/>
  </cols>
  <sheetData>
    <row r="1" spans="1:6" ht="20.25" customHeight="1" x14ac:dyDescent="0.25">
      <c r="A1" s="5" t="s">
        <v>291</v>
      </c>
      <c r="B1" s="110"/>
      <c r="C1" s="110"/>
      <c r="D1" s="110"/>
      <c r="E1" s="248" t="s">
        <v>460</v>
      </c>
      <c r="F1" s="248"/>
    </row>
    <row r="2" spans="1:6" ht="20.25" customHeight="1" x14ac:dyDescent="0.25">
      <c r="A2" s="5" t="s">
        <v>1</v>
      </c>
      <c r="B2" s="111"/>
      <c r="C2" s="111"/>
      <c r="D2" s="111"/>
      <c r="E2" s="111"/>
      <c r="F2" s="111"/>
    </row>
    <row r="3" spans="1:6" ht="20.25" customHeight="1" x14ac:dyDescent="0.25">
      <c r="A3" s="111"/>
      <c r="B3" s="111"/>
      <c r="C3" s="111"/>
      <c r="D3" s="111"/>
      <c r="E3" s="111"/>
      <c r="F3" s="111"/>
    </row>
    <row r="4" spans="1:6" ht="16.5" x14ac:dyDescent="0.25">
      <c r="A4" s="287" t="s">
        <v>279</v>
      </c>
      <c r="B4" s="287"/>
      <c r="C4" s="287"/>
      <c r="D4" s="287"/>
      <c r="E4" s="287"/>
      <c r="F4" s="287"/>
    </row>
    <row r="5" spans="1:6" ht="16.5" x14ac:dyDescent="0.25">
      <c r="A5" s="288" t="str">
        <f>'tong thu xa thi'!A5:F5</f>
        <v>(Kèm theo Nghị quyết số            /NQ-HĐND ngày          /12/2022 của HĐND huyện Nghi Xuân)</v>
      </c>
      <c r="B5" s="288"/>
      <c r="C5" s="288"/>
      <c r="D5" s="288"/>
      <c r="E5" s="288"/>
      <c r="F5" s="288"/>
    </row>
    <row r="6" spans="1:6" ht="20.25" customHeight="1" x14ac:dyDescent="0.25">
      <c r="E6" s="289" t="s">
        <v>58</v>
      </c>
      <c r="F6" s="289"/>
    </row>
    <row r="7" spans="1:6" s="114" customFormat="1" ht="45" customHeight="1" x14ac:dyDescent="0.25">
      <c r="A7" s="112" t="s">
        <v>2</v>
      </c>
      <c r="B7" s="112" t="s">
        <v>280</v>
      </c>
      <c r="C7" s="112" t="s">
        <v>281</v>
      </c>
      <c r="D7" s="112" t="s">
        <v>282</v>
      </c>
      <c r="E7" s="113" t="s">
        <v>283</v>
      </c>
      <c r="F7" s="112" t="s">
        <v>284</v>
      </c>
    </row>
    <row r="8" spans="1:6" s="116" customFormat="1" ht="12.75" x14ac:dyDescent="0.25">
      <c r="A8" s="115" t="s">
        <v>32</v>
      </c>
      <c r="B8" s="115" t="s">
        <v>33</v>
      </c>
      <c r="C8" s="115" t="s">
        <v>285</v>
      </c>
      <c r="D8" s="115">
        <v>2</v>
      </c>
      <c r="E8" s="115">
        <v>3</v>
      </c>
      <c r="F8" s="115">
        <v>4</v>
      </c>
    </row>
    <row r="9" spans="1:6" s="120" customFormat="1" ht="18.75" customHeight="1" x14ac:dyDescent="0.25">
      <c r="A9" s="117">
        <v>1</v>
      </c>
      <c r="B9" s="118" t="s">
        <v>263</v>
      </c>
      <c r="C9" s="119">
        <f t="shared" ref="C9:C25" si="0">D9+E9+F9</f>
        <v>8692300</v>
      </c>
      <c r="D9" s="119">
        <v>4050000</v>
      </c>
      <c r="E9" s="119">
        <v>4507300</v>
      </c>
      <c r="F9" s="119">
        <v>135000</v>
      </c>
    </row>
    <row r="10" spans="1:6" s="120" customFormat="1" ht="18.75" customHeight="1" x14ac:dyDescent="0.25">
      <c r="A10" s="117">
        <v>2</v>
      </c>
      <c r="B10" s="118" t="s">
        <v>264</v>
      </c>
      <c r="C10" s="119">
        <f t="shared" si="0"/>
        <v>9723700</v>
      </c>
      <c r="D10" s="119">
        <v>3700000</v>
      </c>
      <c r="E10" s="119">
        <v>5808700</v>
      </c>
      <c r="F10" s="119">
        <v>215000</v>
      </c>
    </row>
    <row r="11" spans="1:6" s="120" customFormat="1" ht="18.75" customHeight="1" x14ac:dyDescent="0.25">
      <c r="A11" s="117">
        <v>3</v>
      </c>
      <c r="B11" s="118" t="s">
        <v>265</v>
      </c>
      <c r="C11" s="119">
        <f t="shared" si="0"/>
        <v>9269800</v>
      </c>
      <c r="D11" s="119">
        <v>4050000</v>
      </c>
      <c r="E11" s="119">
        <v>5086800</v>
      </c>
      <c r="F11" s="119">
        <v>133000</v>
      </c>
    </row>
    <row r="12" spans="1:6" s="120" customFormat="1" ht="18.75" customHeight="1" x14ac:dyDescent="0.25">
      <c r="A12" s="117">
        <v>4</v>
      </c>
      <c r="B12" s="118" t="s">
        <v>266</v>
      </c>
      <c r="C12" s="119">
        <f t="shared" si="0"/>
        <v>9053800</v>
      </c>
      <c r="D12" s="119">
        <v>4010000</v>
      </c>
      <c r="E12" s="119">
        <v>4906800</v>
      </c>
      <c r="F12" s="119">
        <v>137000</v>
      </c>
    </row>
    <row r="13" spans="1:6" s="120" customFormat="1" ht="18.75" customHeight="1" x14ac:dyDescent="0.25">
      <c r="A13" s="117">
        <v>5</v>
      </c>
      <c r="B13" s="118" t="s">
        <v>267</v>
      </c>
      <c r="C13" s="119">
        <f t="shared" si="0"/>
        <v>8705300</v>
      </c>
      <c r="D13" s="119">
        <v>3375000</v>
      </c>
      <c r="E13" s="119">
        <v>5180300</v>
      </c>
      <c r="F13" s="119">
        <v>150000</v>
      </c>
    </row>
    <row r="14" spans="1:6" s="120" customFormat="1" ht="18.75" customHeight="1" x14ac:dyDescent="0.25">
      <c r="A14" s="117">
        <v>6</v>
      </c>
      <c r="B14" s="118" t="s">
        <v>268</v>
      </c>
      <c r="C14" s="119">
        <f t="shared" si="0"/>
        <v>12205900</v>
      </c>
      <c r="D14" s="119">
        <v>6050000</v>
      </c>
      <c r="E14" s="119">
        <v>6010900</v>
      </c>
      <c r="F14" s="119">
        <v>145000</v>
      </c>
    </row>
    <row r="15" spans="1:6" s="120" customFormat="1" ht="18.75" customHeight="1" x14ac:dyDescent="0.25">
      <c r="A15" s="117">
        <v>7</v>
      </c>
      <c r="B15" s="118" t="s">
        <v>269</v>
      </c>
      <c r="C15" s="119">
        <f t="shared" si="0"/>
        <v>11053100</v>
      </c>
      <c r="D15" s="119">
        <v>5940000</v>
      </c>
      <c r="E15" s="119">
        <v>4982100</v>
      </c>
      <c r="F15" s="119">
        <v>131000</v>
      </c>
    </row>
    <row r="16" spans="1:6" s="120" customFormat="1" ht="18.75" customHeight="1" x14ac:dyDescent="0.25">
      <c r="A16" s="117">
        <v>8</v>
      </c>
      <c r="B16" s="118" t="s">
        <v>270</v>
      </c>
      <c r="C16" s="119">
        <f t="shared" si="0"/>
        <v>8977200</v>
      </c>
      <c r="D16" s="119">
        <v>3240000</v>
      </c>
      <c r="E16" s="119">
        <v>5574200</v>
      </c>
      <c r="F16" s="119">
        <v>163000</v>
      </c>
    </row>
    <row r="17" spans="1:6" s="120" customFormat="1" ht="18.75" customHeight="1" x14ac:dyDescent="0.25">
      <c r="A17" s="117">
        <v>9</v>
      </c>
      <c r="B17" s="118" t="s">
        <v>271</v>
      </c>
      <c r="C17" s="119">
        <f t="shared" si="0"/>
        <v>7375400</v>
      </c>
      <c r="D17" s="119">
        <v>2250000</v>
      </c>
      <c r="E17" s="119">
        <v>4997400</v>
      </c>
      <c r="F17" s="119">
        <v>128000</v>
      </c>
    </row>
    <row r="18" spans="1:6" s="120" customFormat="1" ht="18.75" customHeight="1" x14ac:dyDescent="0.25">
      <c r="A18" s="117">
        <v>10</v>
      </c>
      <c r="B18" s="118" t="s">
        <v>272</v>
      </c>
      <c r="C18" s="119">
        <f t="shared" si="0"/>
        <v>8941300</v>
      </c>
      <c r="D18" s="119">
        <v>3060000</v>
      </c>
      <c r="E18" s="119">
        <v>5711300</v>
      </c>
      <c r="F18" s="119">
        <v>170000</v>
      </c>
    </row>
    <row r="19" spans="1:6" s="120" customFormat="1" ht="18.75" customHeight="1" x14ac:dyDescent="0.25">
      <c r="A19" s="117">
        <v>11</v>
      </c>
      <c r="B19" s="118" t="s">
        <v>286</v>
      </c>
      <c r="C19" s="119">
        <f t="shared" si="0"/>
        <v>8335400</v>
      </c>
      <c r="D19" s="119">
        <v>3150000</v>
      </c>
      <c r="E19" s="119">
        <v>4970400</v>
      </c>
      <c r="F19" s="119">
        <v>215000</v>
      </c>
    </row>
    <row r="20" spans="1:6" s="120" customFormat="1" ht="18.75" customHeight="1" x14ac:dyDescent="0.25">
      <c r="A20" s="117">
        <v>12</v>
      </c>
      <c r="B20" s="118" t="s">
        <v>273</v>
      </c>
      <c r="C20" s="119">
        <f t="shared" si="0"/>
        <v>7624400</v>
      </c>
      <c r="D20" s="119">
        <v>2250000</v>
      </c>
      <c r="E20" s="119">
        <v>5239400</v>
      </c>
      <c r="F20" s="119">
        <v>135000</v>
      </c>
    </row>
    <row r="21" spans="1:6" s="120" customFormat="1" ht="18.75" customHeight="1" x14ac:dyDescent="0.25">
      <c r="A21" s="117">
        <v>13</v>
      </c>
      <c r="B21" s="118" t="s">
        <v>274</v>
      </c>
      <c r="C21" s="119">
        <f t="shared" si="0"/>
        <v>8197900</v>
      </c>
      <c r="D21" s="119">
        <v>3600000</v>
      </c>
      <c r="E21" s="119">
        <v>4462900</v>
      </c>
      <c r="F21" s="119">
        <v>135000</v>
      </c>
    </row>
    <row r="22" spans="1:6" s="120" customFormat="1" ht="18.75" customHeight="1" x14ac:dyDescent="0.25">
      <c r="A22" s="117">
        <v>14</v>
      </c>
      <c r="B22" s="118" t="s">
        <v>252</v>
      </c>
      <c r="C22" s="119">
        <f t="shared" si="0"/>
        <v>14469400</v>
      </c>
      <c r="D22" s="119">
        <v>7050000</v>
      </c>
      <c r="E22" s="119">
        <v>7244400</v>
      </c>
      <c r="F22" s="119">
        <v>175000</v>
      </c>
    </row>
    <row r="23" spans="1:6" s="120" customFormat="1" ht="18.75" customHeight="1" x14ac:dyDescent="0.25">
      <c r="A23" s="117">
        <v>15</v>
      </c>
      <c r="B23" s="118" t="s">
        <v>275</v>
      </c>
      <c r="C23" s="119">
        <f t="shared" si="0"/>
        <v>8215100</v>
      </c>
      <c r="D23" s="119">
        <v>2700000</v>
      </c>
      <c r="E23" s="119">
        <v>5358100</v>
      </c>
      <c r="F23" s="119">
        <v>157000</v>
      </c>
    </row>
    <row r="24" spans="1:6" s="120" customFormat="1" ht="18.75" customHeight="1" x14ac:dyDescent="0.25">
      <c r="A24" s="117">
        <v>16</v>
      </c>
      <c r="B24" s="118" t="s">
        <v>276</v>
      </c>
      <c r="C24" s="119">
        <f t="shared" si="0"/>
        <v>5166000</v>
      </c>
      <c r="D24" s="119">
        <v>675000</v>
      </c>
      <c r="E24" s="119">
        <v>4376000</v>
      </c>
      <c r="F24" s="119">
        <v>115000</v>
      </c>
    </row>
    <row r="25" spans="1:6" s="120" customFormat="1" ht="18.75" customHeight="1" x14ac:dyDescent="0.25">
      <c r="A25" s="117">
        <v>17</v>
      </c>
      <c r="B25" s="118" t="s">
        <v>277</v>
      </c>
      <c r="C25" s="119">
        <f t="shared" si="0"/>
        <v>6801000</v>
      </c>
      <c r="D25" s="119">
        <v>2250000</v>
      </c>
      <c r="E25" s="119">
        <v>4432000</v>
      </c>
      <c r="F25" s="119">
        <v>119000</v>
      </c>
    </row>
    <row r="26" spans="1:6" s="123" customFormat="1" ht="18.75" customHeight="1" x14ac:dyDescent="0.25">
      <c r="A26" s="291" t="s">
        <v>278</v>
      </c>
      <c r="B26" s="291"/>
      <c r="C26" s="121">
        <f>SUM(C9:C25)</f>
        <v>152807000</v>
      </c>
      <c r="D26" s="121">
        <f>SUM(D9:D25)</f>
        <v>61400000</v>
      </c>
      <c r="E26" s="121">
        <f>SUM(E9:E25)</f>
        <v>88849000</v>
      </c>
      <c r="F26" s="122">
        <f>SUM(F9:F25)</f>
        <v>2558000</v>
      </c>
    </row>
    <row r="27" spans="1:6" ht="20.25" customHeight="1" x14ac:dyDescent="0.25"/>
    <row r="28" spans="1:6" ht="20.25" customHeight="1" x14ac:dyDescent="0.25"/>
    <row r="29" spans="1:6" ht="20.25" customHeight="1" x14ac:dyDescent="0.25"/>
    <row r="30" spans="1:6" ht="20.25" customHeight="1" x14ac:dyDescent="0.25"/>
    <row r="31" spans="1:6" ht="20.25" customHeight="1" x14ac:dyDescent="0.25"/>
    <row r="32" spans="1:6"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20.25" customHeight="1" x14ac:dyDescent="0.25"/>
    <row r="222" ht="20.25" customHeight="1" x14ac:dyDescent="0.25"/>
    <row r="223" ht="20.25" customHeight="1" x14ac:dyDescent="0.25"/>
    <row r="224" ht="20.25" customHeight="1" x14ac:dyDescent="0.25"/>
    <row r="225" ht="20.25" customHeight="1" x14ac:dyDescent="0.25"/>
    <row r="226" ht="20.25" customHeight="1" x14ac:dyDescent="0.25"/>
    <row r="227" ht="20.25" customHeight="1" x14ac:dyDescent="0.25"/>
    <row r="228" ht="20.25" customHeight="1" x14ac:dyDescent="0.25"/>
    <row r="229" ht="20.25" customHeight="1" x14ac:dyDescent="0.25"/>
    <row r="230" ht="20.25" customHeight="1" x14ac:dyDescent="0.25"/>
    <row r="231" ht="20.25" customHeight="1" x14ac:dyDescent="0.25"/>
    <row r="232" ht="20.25" customHeight="1" x14ac:dyDescent="0.25"/>
    <row r="233" ht="20.25" customHeight="1" x14ac:dyDescent="0.25"/>
    <row r="234" ht="20.25" customHeight="1" x14ac:dyDescent="0.25"/>
    <row r="235" ht="20.25" customHeight="1" x14ac:dyDescent="0.25"/>
    <row r="236" ht="20.25" customHeight="1" x14ac:dyDescent="0.25"/>
    <row r="237" ht="20.25" customHeight="1" x14ac:dyDescent="0.25"/>
    <row r="238" ht="20.25" customHeight="1" x14ac:dyDescent="0.25"/>
    <row r="239" ht="20.25" customHeight="1" x14ac:dyDescent="0.25"/>
    <row r="240" ht="20.25" customHeight="1" x14ac:dyDescent="0.25"/>
    <row r="241" ht="20.25" customHeight="1" x14ac:dyDescent="0.25"/>
    <row r="242" ht="20.25" customHeight="1" x14ac:dyDescent="0.25"/>
    <row r="243" ht="20.25" customHeight="1" x14ac:dyDescent="0.25"/>
    <row r="244" ht="20.25" customHeight="1" x14ac:dyDescent="0.25"/>
    <row r="245" ht="20.25" customHeight="1" x14ac:dyDescent="0.25"/>
    <row r="246" ht="20.25" customHeight="1" x14ac:dyDescent="0.25"/>
    <row r="247" ht="20.25" customHeight="1" x14ac:dyDescent="0.25"/>
    <row r="248" ht="20.25" customHeight="1" x14ac:dyDescent="0.25"/>
    <row r="249" ht="20.25" customHeight="1" x14ac:dyDescent="0.25"/>
    <row r="250" ht="20.25" customHeight="1" x14ac:dyDescent="0.25"/>
    <row r="251" ht="20.25" customHeight="1" x14ac:dyDescent="0.25"/>
    <row r="252" ht="20.25" customHeight="1" x14ac:dyDescent="0.25"/>
    <row r="253" ht="20.25" customHeight="1" x14ac:dyDescent="0.25"/>
    <row r="254" ht="20.25" customHeight="1" x14ac:dyDescent="0.25"/>
    <row r="255" ht="20.25" customHeight="1" x14ac:dyDescent="0.25"/>
    <row r="256" ht="20.25" customHeight="1" x14ac:dyDescent="0.25"/>
    <row r="257" ht="20.25" customHeight="1" x14ac:dyDescent="0.25"/>
    <row r="258" ht="20.25" customHeight="1" x14ac:dyDescent="0.25"/>
    <row r="259" ht="20.25" customHeight="1" x14ac:dyDescent="0.25"/>
    <row r="260" ht="20.25" customHeight="1" x14ac:dyDescent="0.25"/>
    <row r="261" ht="20.25" customHeight="1" x14ac:dyDescent="0.25"/>
    <row r="262" ht="20.25" customHeight="1" x14ac:dyDescent="0.25"/>
    <row r="263" ht="20.25" customHeight="1" x14ac:dyDescent="0.25"/>
    <row r="264" ht="20.25" customHeight="1" x14ac:dyDescent="0.25"/>
    <row r="265" ht="20.25" customHeight="1" x14ac:dyDescent="0.25"/>
    <row r="266" ht="20.25" customHeight="1" x14ac:dyDescent="0.25"/>
    <row r="267" ht="20.25" customHeight="1" x14ac:dyDescent="0.25"/>
    <row r="268" ht="20.25" customHeight="1" x14ac:dyDescent="0.25"/>
    <row r="269" ht="20.25" customHeight="1" x14ac:dyDescent="0.25"/>
    <row r="270" ht="20.25" customHeight="1" x14ac:dyDescent="0.25"/>
    <row r="271" ht="20.25" customHeight="1" x14ac:dyDescent="0.25"/>
    <row r="272" ht="20.25" customHeight="1" x14ac:dyDescent="0.25"/>
    <row r="273" ht="20.25" customHeight="1" x14ac:dyDescent="0.25"/>
    <row r="274" ht="20.25" customHeight="1" x14ac:dyDescent="0.25"/>
    <row r="275" ht="20.25" customHeight="1" x14ac:dyDescent="0.25"/>
    <row r="276" ht="20.25" customHeight="1" x14ac:dyDescent="0.25"/>
    <row r="277" ht="20.25" customHeight="1" x14ac:dyDescent="0.25"/>
    <row r="278" ht="20.25" customHeight="1" x14ac:dyDescent="0.25"/>
    <row r="279" ht="20.25" customHeight="1" x14ac:dyDescent="0.25"/>
    <row r="280" ht="20.25" customHeight="1" x14ac:dyDescent="0.25"/>
    <row r="281" ht="20.25" customHeight="1" x14ac:dyDescent="0.25"/>
    <row r="282" ht="20.25" customHeight="1" x14ac:dyDescent="0.25"/>
    <row r="283" ht="20.25" customHeight="1" x14ac:dyDescent="0.25"/>
    <row r="284" ht="20.25" customHeight="1" x14ac:dyDescent="0.25"/>
    <row r="285" ht="20.25" customHeight="1" x14ac:dyDescent="0.25"/>
    <row r="286" ht="20.25" customHeight="1" x14ac:dyDescent="0.25"/>
    <row r="287" ht="20.25" customHeight="1" x14ac:dyDescent="0.25"/>
    <row r="288" ht="20.25" customHeight="1" x14ac:dyDescent="0.25"/>
    <row r="289" ht="20.25" customHeight="1" x14ac:dyDescent="0.25"/>
    <row r="290" ht="20.25" customHeight="1" x14ac:dyDescent="0.25"/>
    <row r="291" ht="20.25" customHeight="1" x14ac:dyDescent="0.25"/>
    <row r="292" ht="20.25" customHeight="1" x14ac:dyDescent="0.25"/>
    <row r="293" ht="20.25" customHeight="1" x14ac:dyDescent="0.25"/>
    <row r="294" ht="20.25" customHeight="1" x14ac:dyDescent="0.25"/>
    <row r="295" ht="20.25" customHeight="1" x14ac:dyDescent="0.25"/>
    <row r="296" ht="20.25" customHeight="1" x14ac:dyDescent="0.25"/>
    <row r="297" ht="20.25" customHeight="1" x14ac:dyDescent="0.25"/>
    <row r="298" ht="20.25" customHeight="1" x14ac:dyDescent="0.25"/>
    <row r="299" ht="20.25" customHeight="1" x14ac:dyDescent="0.25"/>
    <row r="300" ht="20.25" customHeight="1" x14ac:dyDescent="0.25"/>
    <row r="301" ht="20.25" customHeight="1" x14ac:dyDescent="0.25"/>
    <row r="302" ht="20.25" customHeight="1" x14ac:dyDescent="0.25"/>
    <row r="303" ht="20.25" customHeight="1" x14ac:dyDescent="0.25"/>
    <row r="304" ht="20.25" customHeight="1" x14ac:dyDescent="0.25"/>
    <row r="305" ht="20.25" customHeight="1" x14ac:dyDescent="0.25"/>
    <row r="306" ht="20.25" customHeight="1" x14ac:dyDescent="0.25"/>
    <row r="307" ht="20.25" customHeight="1" x14ac:dyDescent="0.25"/>
    <row r="308" ht="20.25" customHeight="1" x14ac:dyDescent="0.25"/>
    <row r="309" ht="20.25" customHeight="1" x14ac:dyDescent="0.25"/>
    <row r="310" ht="20.25" customHeight="1" x14ac:dyDescent="0.25"/>
    <row r="311" ht="20.25" customHeight="1" x14ac:dyDescent="0.25"/>
    <row r="312" ht="20.25" customHeight="1" x14ac:dyDescent="0.25"/>
    <row r="313" ht="20.25" customHeight="1" x14ac:dyDescent="0.25"/>
    <row r="314" ht="20.25" customHeight="1" x14ac:dyDescent="0.25"/>
    <row r="315" ht="20.25" customHeight="1" x14ac:dyDescent="0.25"/>
    <row r="316" ht="20.25" customHeight="1" x14ac:dyDescent="0.25"/>
    <row r="317" ht="20.25" customHeight="1" x14ac:dyDescent="0.25"/>
    <row r="318" ht="20.25" customHeight="1" x14ac:dyDescent="0.25"/>
    <row r="319" ht="20.25" customHeight="1" x14ac:dyDescent="0.25"/>
    <row r="320" ht="20.25" customHeight="1" x14ac:dyDescent="0.25"/>
    <row r="321" ht="20.25" customHeight="1" x14ac:dyDescent="0.25"/>
    <row r="322" ht="20.25" customHeight="1" x14ac:dyDescent="0.25"/>
    <row r="323" ht="20.25" customHeight="1" x14ac:dyDescent="0.25"/>
    <row r="324" ht="20.25" customHeight="1" x14ac:dyDescent="0.25"/>
    <row r="325" ht="20.25" customHeight="1" x14ac:dyDescent="0.25"/>
    <row r="326" ht="20.25" customHeight="1" x14ac:dyDescent="0.25"/>
    <row r="327" ht="20.25" customHeight="1" x14ac:dyDescent="0.25"/>
    <row r="328" ht="20.25" customHeight="1" x14ac:dyDescent="0.25"/>
    <row r="329" ht="20.25" customHeight="1" x14ac:dyDescent="0.25"/>
    <row r="330" ht="20.25" customHeight="1" x14ac:dyDescent="0.25"/>
    <row r="331" ht="20.25" customHeight="1" x14ac:dyDescent="0.25"/>
    <row r="332" ht="20.25" customHeight="1" x14ac:dyDescent="0.25"/>
    <row r="333" ht="20.25" customHeight="1" x14ac:dyDescent="0.25"/>
    <row r="334" ht="20.25" customHeight="1" x14ac:dyDescent="0.25"/>
    <row r="335" ht="20.25" customHeight="1" x14ac:dyDescent="0.25"/>
    <row r="336" ht="20.25" customHeight="1" x14ac:dyDescent="0.25"/>
    <row r="337" ht="20.25" customHeight="1" x14ac:dyDescent="0.25"/>
    <row r="338" ht="20.25" customHeight="1" x14ac:dyDescent="0.25"/>
    <row r="339" ht="20.25" customHeight="1" x14ac:dyDescent="0.25"/>
    <row r="340" ht="20.25" customHeight="1" x14ac:dyDescent="0.25"/>
    <row r="341" ht="20.25" customHeight="1" x14ac:dyDescent="0.25"/>
    <row r="342" ht="20.25" customHeight="1" x14ac:dyDescent="0.25"/>
    <row r="343" ht="20.25" customHeight="1" x14ac:dyDescent="0.25"/>
    <row r="344" ht="20.25" customHeight="1" x14ac:dyDescent="0.25"/>
    <row r="345" ht="20.25" customHeight="1" x14ac:dyDescent="0.25"/>
    <row r="346" ht="20.25" customHeight="1" x14ac:dyDescent="0.25"/>
    <row r="347" ht="20.25" customHeight="1" x14ac:dyDescent="0.25"/>
    <row r="348" ht="20.25" customHeight="1" x14ac:dyDescent="0.25"/>
    <row r="349" ht="20.25" customHeight="1" x14ac:dyDescent="0.25"/>
    <row r="350" ht="20.25" customHeight="1" x14ac:dyDescent="0.25"/>
    <row r="351" ht="20.25" customHeight="1" x14ac:dyDescent="0.25"/>
    <row r="352" ht="20.25" customHeight="1" x14ac:dyDescent="0.25"/>
    <row r="353" ht="20.25" customHeight="1" x14ac:dyDescent="0.25"/>
    <row r="354" ht="20.25" customHeight="1" x14ac:dyDescent="0.25"/>
    <row r="355" ht="20.25" customHeight="1" x14ac:dyDescent="0.25"/>
    <row r="356" ht="20.25" customHeight="1" x14ac:dyDescent="0.25"/>
    <row r="357" ht="20.25" customHeight="1" x14ac:dyDescent="0.25"/>
    <row r="358" ht="20.25" customHeight="1" x14ac:dyDescent="0.25"/>
    <row r="359" ht="20.25" customHeight="1" x14ac:dyDescent="0.25"/>
    <row r="360" ht="20.25" customHeight="1" x14ac:dyDescent="0.25"/>
    <row r="361" ht="20.25" customHeight="1" x14ac:dyDescent="0.25"/>
    <row r="362" ht="20.25" customHeight="1" x14ac:dyDescent="0.25"/>
    <row r="363" ht="20.25" customHeight="1" x14ac:dyDescent="0.25"/>
    <row r="364" ht="20.25" customHeight="1" x14ac:dyDescent="0.25"/>
    <row r="365" ht="20.25" customHeight="1" x14ac:dyDescent="0.25"/>
    <row r="366" ht="20.25" customHeight="1" x14ac:dyDescent="0.25"/>
    <row r="367" ht="20.25" customHeight="1" x14ac:dyDescent="0.25"/>
    <row r="368"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row r="390" ht="20.25" customHeight="1" x14ac:dyDescent="0.25"/>
    <row r="391" ht="20.25" customHeight="1" x14ac:dyDescent="0.25"/>
    <row r="392" ht="20.25" customHeight="1" x14ac:dyDescent="0.25"/>
    <row r="393" ht="20.25" customHeight="1" x14ac:dyDescent="0.25"/>
    <row r="394" ht="20.25" customHeight="1" x14ac:dyDescent="0.25"/>
    <row r="395" ht="20.25" customHeight="1" x14ac:dyDescent="0.25"/>
    <row r="396" ht="20.25" customHeight="1" x14ac:dyDescent="0.25"/>
    <row r="397" ht="20.25" customHeight="1" x14ac:dyDescent="0.25"/>
    <row r="398" ht="20.25" customHeight="1" x14ac:dyDescent="0.25"/>
    <row r="399" ht="20.25" customHeight="1" x14ac:dyDescent="0.25"/>
    <row r="400" ht="20.25" customHeight="1" x14ac:dyDescent="0.25"/>
    <row r="401" ht="20.25" customHeight="1" x14ac:dyDescent="0.25"/>
    <row r="402" ht="20.25" customHeight="1" x14ac:dyDescent="0.25"/>
    <row r="403" ht="20.25" customHeight="1" x14ac:dyDescent="0.25"/>
    <row r="404" ht="20.25" customHeight="1" x14ac:dyDescent="0.25"/>
    <row r="405" ht="20.25" customHeight="1" x14ac:dyDescent="0.25"/>
    <row r="406" ht="20.25" customHeight="1" x14ac:dyDescent="0.25"/>
    <row r="407" ht="20.25" customHeight="1" x14ac:dyDescent="0.25"/>
    <row r="408" ht="20.25" customHeight="1" x14ac:dyDescent="0.25"/>
    <row r="409" ht="20.25" customHeight="1" x14ac:dyDescent="0.25"/>
    <row r="410" ht="20.25" customHeight="1" x14ac:dyDescent="0.25"/>
    <row r="411" ht="20.25" customHeight="1" x14ac:dyDescent="0.25"/>
    <row r="412" ht="20.25" customHeight="1" x14ac:dyDescent="0.25"/>
    <row r="413" ht="20.25" customHeight="1" x14ac:dyDescent="0.25"/>
    <row r="414" ht="20.25" customHeight="1" x14ac:dyDescent="0.25"/>
    <row r="415" ht="20.25" customHeight="1" x14ac:dyDescent="0.25"/>
    <row r="416" ht="20.25" customHeight="1" x14ac:dyDescent="0.25"/>
    <row r="417" ht="20.25" customHeight="1" x14ac:dyDescent="0.25"/>
    <row r="418" ht="20.25" customHeight="1" x14ac:dyDescent="0.25"/>
    <row r="419" ht="20.25" customHeight="1" x14ac:dyDescent="0.25"/>
    <row r="420" ht="20.25" customHeight="1" x14ac:dyDescent="0.25"/>
    <row r="421" ht="20.25" customHeight="1" x14ac:dyDescent="0.25"/>
    <row r="422" ht="20.25" customHeight="1" x14ac:dyDescent="0.25"/>
    <row r="423" ht="20.25" customHeight="1" x14ac:dyDescent="0.25"/>
    <row r="424" ht="20.25" customHeight="1" x14ac:dyDescent="0.25"/>
    <row r="425" ht="20.25" customHeight="1" x14ac:dyDescent="0.25"/>
    <row r="426" ht="20.25" customHeight="1" x14ac:dyDescent="0.25"/>
    <row r="427" ht="20.25" customHeight="1" x14ac:dyDescent="0.25"/>
    <row r="428" ht="20.25" customHeight="1" x14ac:dyDescent="0.25"/>
    <row r="429" ht="20.25" customHeight="1" x14ac:dyDescent="0.25"/>
    <row r="430" ht="20.25" customHeight="1" x14ac:dyDescent="0.25"/>
    <row r="431" ht="20.25" customHeight="1" x14ac:dyDescent="0.25"/>
    <row r="432" ht="20.25" customHeight="1" x14ac:dyDescent="0.25"/>
    <row r="433" ht="20.25" customHeight="1" x14ac:dyDescent="0.25"/>
    <row r="434" ht="20.25" customHeight="1" x14ac:dyDescent="0.25"/>
    <row r="435" ht="20.25" customHeight="1" x14ac:dyDescent="0.25"/>
    <row r="436" ht="20.25" customHeight="1" x14ac:dyDescent="0.25"/>
    <row r="437" ht="20.25" customHeight="1" x14ac:dyDescent="0.25"/>
    <row r="438" ht="20.25" customHeight="1" x14ac:dyDescent="0.25"/>
    <row r="439" ht="20.25" customHeight="1" x14ac:dyDescent="0.25"/>
    <row r="440" ht="20.25" customHeight="1" x14ac:dyDescent="0.25"/>
    <row r="441" ht="20.25" customHeight="1" x14ac:dyDescent="0.25"/>
    <row r="442" ht="20.25" customHeight="1" x14ac:dyDescent="0.25"/>
    <row r="443" ht="20.25" customHeight="1" x14ac:dyDescent="0.25"/>
    <row r="444" ht="20.25" customHeight="1" x14ac:dyDescent="0.25"/>
    <row r="445" ht="20.25" customHeight="1" x14ac:dyDescent="0.25"/>
    <row r="446" ht="20.25" customHeight="1" x14ac:dyDescent="0.25"/>
    <row r="447" ht="20.25" customHeight="1" x14ac:dyDescent="0.25"/>
    <row r="448" ht="20.25" customHeight="1" x14ac:dyDescent="0.25"/>
    <row r="449" ht="20.25" customHeight="1" x14ac:dyDescent="0.25"/>
    <row r="450" ht="20.25" customHeight="1" x14ac:dyDescent="0.25"/>
    <row r="451" ht="20.25" customHeight="1" x14ac:dyDescent="0.25"/>
    <row r="452" ht="20.25" customHeight="1" x14ac:dyDescent="0.25"/>
    <row r="453" ht="20.25" customHeight="1" x14ac:dyDescent="0.25"/>
    <row r="454" ht="20.25" customHeight="1" x14ac:dyDescent="0.25"/>
    <row r="455" ht="20.25" customHeight="1" x14ac:dyDescent="0.25"/>
    <row r="456" ht="20.25" customHeight="1" x14ac:dyDescent="0.25"/>
    <row r="457" ht="20.25" customHeight="1" x14ac:dyDescent="0.25"/>
    <row r="458" ht="20.25" customHeight="1" x14ac:dyDescent="0.25"/>
    <row r="459" ht="20.25" customHeight="1" x14ac:dyDescent="0.25"/>
    <row r="460" ht="20.25" customHeight="1" x14ac:dyDescent="0.25"/>
    <row r="461" ht="20.25" customHeight="1" x14ac:dyDescent="0.25"/>
    <row r="462" ht="20.25" customHeight="1" x14ac:dyDescent="0.25"/>
    <row r="463" ht="20.25" customHeight="1" x14ac:dyDescent="0.25"/>
    <row r="464" ht="20.25" customHeight="1" x14ac:dyDescent="0.25"/>
    <row r="465" ht="20.25" customHeight="1" x14ac:dyDescent="0.25"/>
    <row r="466" ht="20.25" customHeight="1" x14ac:dyDescent="0.25"/>
    <row r="467" ht="20.25" customHeight="1" x14ac:dyDescent="0.25"/>
    <row r="468" ht="20.25" customHeight="1" x14ac:dyDescent="0.25"/>
    <row r="469" ht="20.25" customHeight="1" x14ac:dyDescent="0.25"/>
    <row r="470" ht="20.25" customHeight="1" x14ac:dyDescent="0.25"/>
    <row r="471" ht="20.25" customHeight="1" x14ac:dyDescent="0.25"/>
    <row r="472" ht="20.25" customHeight="1" x14ac:dyDescent="0.25"/>
    <row r="473" ht="20.25" customHeight="1" x14ac:dyDescent="0.25"/>
    <row r="474" ht="20.25" customHeight="1" x14ac:dyDescent="0.25"/>
    <row r="475" ht="20.25" customHeight="1" x14ac:dyDescent="0.25"/>
    <row r="476" ht="20.25" customHeight="1" x14ac:dyDescent="0.25"/>
    <row r="477" ht="20.25" customHeight="1" x14ac:dyDescent="0.25"/>
    <row r="478" ht="20.25" customHeight="1" x14ac:dyDescent="0.25"/>
    <row r="479" ht="20.25" customHeight="1" x14ac:dyDescent="0.25"/>
    <row r="480" ht="20.25" customHeight="1" x14ac:dyDescent="0.25"/>
    <row r="481" ht="20.25" customHeight="1" x14ac:dyDescent="0.25"/>
    <row r="482" ht="20.25" customHeight="1" x14ac:dyDescent="0.25"/>
    <row r="483" ht="20.25" customHeight="1" x14ac:dyDescent="0.25"/>
    <row r="484" ht="20.25" customHeight="1" x14ac:dyDescent="0.25"/>
    <row r="485" ht="20.25" customHeight="1" x14ac:dyDescent="0.25"/>
    <row r="486" ht="20.25" customHeight="1" x14ac:dyDescent="0.25"/>
    <row r="487" ht="20.25" customHeight="1" x14ac:dyDescent="0.25"/>
    <row r="488" ht="20.25" customHeight="1" x14ac:dyDescent="0.25"/>
    <row r="489" ht="20.25" customHeight="1" x14ac:dyDescent="0.25"/>
    <row r="490" ht="20.25" customHeight="1" x14ac:dyDescent="0.25"/>
    <row r="491" ht="20.25" customHeight="1" x14ac:dyDescent="0.25"/>
    <row r="492" ht="20.25" customHeight="1" x14ac:dyDescent="0.25"/>
    <row r="493" ht="20.25" customHeight="1" x14ac:dyDescent="0.25"/>
    <row r="494" ht="20.25" customHeight="1" x14ac:dyDescent="0.25"/>
    <row r="495" ht="20.25" customHeight="1" x14ac:dyDescent="0.25"/>
    <row r="496" ht="20.25" customHeight="1" x14ac:dyDescent="0.25"/>
    <row r="497" ht="20.25" customHeight="1" x14ac:dyDescent="0.25"/>
    <row r="498" ht="20.25" customHeight="1" x14ac:dyDescent="0.25"/>
    <row r="499" ht="20.25" customHeight="1" x14ac:dyDescent="0.25"/>
    <row r="500" ht="20.25" customHeight="1" x14ac:dyDescent="0.25"/>
    <row r="501" ht="20.25" customHeight="1" x14ac:dyDescent="0.25"/>
    <row r="502" ht="20.25" customHeight="1" x14ac:dyDescent="0.25"/>
    <row r="503" ht="20.25" customHeight="1" x14ac:dyDescent="0.25"/>
    <row r="504" ht="20.25" customHeight="1" x14ac:dyDescent="0.25"/>
    <row r="505" ht="20.25" customHeight="1" x14ac:dyDescent="0.25"/>
    <row r="506" ht="20.25" customHeight="1" x14ac:dyDescent="0.25"/>
    <row r="507" ht="20.25" customHeight="1" x14ac:dyDescent="0.25"/>
    <row r="508" ht="20.25" customHeight="1" x14ac:dyDescent="0.25"/>
    <row r="509" ht="20.25" customHeight="1" x14ac:dyDescent="0.25"/>
    <row r="510" ht="20.25" customHeight="1" x14ac:dyDescent="0.25"/>
    <row r="511" ht="20.25" customHeight="1" x14ac:dyDescent="0.25"/>
    <row r="512" ht="20.25" customHeight="1" x14ac:dyDescent="0.25"/>
    <row r="513" ht="20.25" customHeight="1" x14ac:dyDescent="0.25"/>
    <row r="514" ht="20.25" customHeight="1" x14ac:dyDescent="0.25"/>
    <row r="515" ht="20.25" customHeight="1" x14ac:dyDescent="0.25"/>
    <row r="516" ht="20.25" customHeight="1" x14ac:dyDescent="0.25"/>
    <row r="517" ht="20.25" customHeight="1" x14ac:dyDescent="0.25"/>
    <row r="518" ht="20.25" customHeight="1" x14ac:dyDescent="0.25"/>
    <row r="519" ht="20.25" customHeight="1" x14ac:dyDescent="0.25"/>
    <row r="520" ht="20.25" customHeight="1" x14ac:dyDescent="0.25"/>
    <row r="521" ht="20.25" customHeight="1" x14ac:dyDescent="0.25"/>
    <row r="522" ht="20.25" customHeight="1" x14ac:dyDescent="0.25"/>
    <row r="523" ht="20.25" customHeight="1" x14ac:dyDescent="0.25"/>
    <row r="524" ht="20.25" customHeight="1" x14ac:dyDescent="0.25"/>
    <row r="525" ht="20.25" customHeight="1" x14ac:dyDescent="0.25"/>
    <row r="526" ht="20.25" customHeight="1" x14ac:dyDescent="0.25"/>
    <row r="527" ht="20.25" customHeight="1" x14ac:dyDescent="0.25"/>
    <row r="528" ht="20.25" customHeight="1" x14ac:dyDescent="0.25"/>
    <row r="529" ht="20.25" customHeight="1" x14ac:dyDescent="0.25"/>
    <row r="530" ht="20.25" customHeight="1" x14ac:dyDescent="0.25"/>
    <row r="531" ht="20.25" customHeight="1" x14ac:dyDescent="0.25"/>
    <row r="532" ht="20.25" customHeight="1" x14ac:dyDescent="0.25"/>
    <row r="533" ht="20.25" customHeight="1" x14ac:dyDescent="0.25"/>
    <row r="534" ht="20.25" customHeight="1" x14ac:dyDescent="0.25"/>
    <row r="535" ht="20.25" customHeight="1" x14ac:dyDescent="0.25"/>
    <row r="536" ht="20.25" customHeight="1" x14ac:dyDescent="0.25"/>
    <row r="537" ht="20.25" customHeight="1" x14ac:dyDescent="0.25"/>
    <row r="538" ht="20.25" customHeight="1" x14ac:dyDescent="0.25"/>
    <row r="539" ht="20.25" customHeight="1" x14ac:dyDescent="0.25"/>
    <row r="540" ht="20.25" customHeight="1" x14ac:dyDescent="0.25"/>
    <row r="541" ht="20.25" customHeight="1" x14ac:dyDescent="0.25"/>
    <row r="542" ht="20.25" customHeight="1" x14ac:dyDescent="0.25"/>
    <row r="543" ht="20.25" customHeight="1" x14ac:dyDescent="0.25"/>
    <row r="544" ht="20.25" customHeight="1" x14ac:dyDescent="0.25"/>
    <row r="545" ht="20.25" customHeight="1" x14ac:dyDescent="0.25"/>
    <row r="546" ht="20.25" customHeight="1" x14ac:dyDescent="0.25"/>
    <row r="547" ht="20.25" customHeight="1" x14ac:dyDescent="0.25"/>
    <row r="548" ht="20.25" customHeight="1" x14ac:dyDescent="0.25"/>
    <row r="549" ht="20.25" customHeight="1" x14ac:dyDescent="0.25"/>
    <row r="550" ht="20.25" customHeight="1" x14ac:dyDescent="0.25"/>
    <row r="551" ht="20.25" customHeight="1" x14ac:dyDescent="0.25"/>
    <row r="552" ht="20.25" customHeight="1" x14ac:dyDescent="0.25"/>
    <row r="553" ht="20.25" customHeight="1" x14ac:dyDescent="0.25"/>
    <row r="554" ht="20.25" customHeight="1" x14ac:dyDescent="0.25"/>
    <row r="555" ht="20.25" customHeight="1" x14ac:dyDescent="0.25"/>
    <row r="556" ht="20.25" customHeight="1" x14ac:dyDescent="0.25"/>
    <row r="557" ht="20.25" customHeight="1" x14ac:dyDescent="0.25"/>
    <row r="558" ht="20.25" customHeight="1" x14ac:dyDescent="0.25"/>
    <row r="559" ht="20.25" customHeight="1" x14ac:dyDescent="0.25"/>
    <row r="560" ht="20.25" customHeight="1" x14ac:dyDescent="0.25"/>
    <row r="561" ht="20.25" customHeight="1" x14ac:dyDescent="0.25"/>
    <row r="562" ht="20.25" customHeight="1" x14ac:dyDescent="0.25"/>
    <row r="563" ht="20.25" customHeight="1" x14ac:dyDescent="0.25"/>
    <row r="564" ht="20.25" customHeight="1" x14ac:dyDescent="0.25"/>
    <row r="565" ht="20.25" customHeight="1" x14ac:dyDescent="0.25"/>
    <row r="566" ht="20.25" customHeight="1" x14ac:dyDescent="0.25"/>
    <row r="567" ht="20.25" customHeight="1" x14ac:dyDescent="0.25"/>
    <row r="568" ht="20.25" customHeight="1" x14ac:dyDescent="0.25"/>
    <row r="569" ht="20.25" customHeight="1" x14ac:dyDescent="0.25"/>
    <row r="570" ht="20.25" customHeight="1" x14ac:dyDescent="0.25"/>
    <row r="571" ht="20.25" customHeight="1" x14ac:dyDescent="0.25"/>
    <row r="572" ht="20.25" customHeight="1" x14ac:dyDescent="0.25"/>
    <row r="573" ht="20.25" customHeight="1" x14ac:dyDescent="0.25"/>
    <row r="574" ht="20.25" customHeight="1" x14ac:dyDescent="0.25"/>
    <row r="575" ht="20.25" customHeight="1" x14ac:dyDescent="0.25"/>
    <row r="576" ht="20.25" customHeight="1" x14ac:dyDescent="0.25"/>
    <row r="577" ht="20.25" customHeight="1" x14ac:dyDescent="0.25"/>
    <row r="578" ht="20.25" customHeight="1" x14ac:dyDescent="0.25"/>
    <row r="579" ht="20.25" customHeight="1" x14ac:dyDescent="0.25"/>
    <row r="580" ht="20.25" customHeight="1" x14ac:dyDescent="0.25"/>
    <row r="581" ht="20.25" customHeight="1" x14ac:dyDescent="0.25"/>
    <row r="582" ht="20.25" customHeight="1" x14ac:dyDescent="0.25"/>
    <row r="583" ht="20.25" customHeight="1" x14ac:dyDescent="0.25"/>
    <row r="584" ht="20.25" customHeight="1" x14ac:dyDescent="0.25"/>
    <row r="585" ht="20.25" customHeight="1" x14ac:dyDescent="0.25"/>
    <row r="586" ht="20.25" customHeight="1" x14ac:dyDescent="0.25"/>
    <row r="587" ht="20.25" customHeight="1" x14ac:dyDescent="0.25"/>
    <row r="588" ht="20.25" customHeight="1" x14ac:dyDescent="0.25"/>
    <row r="589" ht="20.25" customHeight="1" x14ac:dyDescent="0.25"/>
    <row r="590" ht="20.25" customHeight="1" x14ac:dyDescent="0.25"/>
    <row r="591" ht="20.25" customHeight="1" x14ac:dyDescent="0.25"/>
    <row r="592" ht="20.25" customHeight="1" x14ac:dyDescent="0.25"/>
    <row r="593" ht="20.25" customHeight="1" x14ac:dyDescent="0.25"/>
    <row r="594" ht="20.25" customHeight="1" x14ac:dyDescent="0.25"/>
    <row r="595" ht="20.25" customHeight="1" x14ac:dyDescent="0.25"/>
    <row r="596" ht="20.25" customHeight="1" x14ac:dyDescent="0.25"/>
    <row r="597" ht="20.25" customHeight="1" x14ac:dyDescent="0.25"/>
    <row r="598" ht="20.25" customHeight="1" x14ac:dyDescent="0.25"/>
    <row r="599" ht="20.25" customHeight="1" x14ac:dyDescent="0.25"/>
    <row r="600" ht="20.25" customHeight="1" x14ac:dyDescent="0.25"/>
    <row r="601" ht="20.25" customHeight="1" x14ac:dyDescent="0.25"/>
    <row r="602" ht="20.25" customHeight="1" x14ac:dyDescent="0.25"/>
    <row r="603" ht="20.25" customHeight="1" x14ac:dyDescent="0.25"/>
    <row r="604" ht="20.25" customHeight="1" x14ac:dyDescent="0.25"/>
    <row r="605" ht="20.25" customHeight="1" x14ac:dyDescent="0.25"/>
    <row r="606" ht="20.25" customHeight="1" x14ac:dyDescent="0.25"/>
    <row r="607" ht="20.25" customHeight="1" x14ac:dyDescent="0.25"/>
    <row r="608" ht="20.25" customHeight="1" x14ac:dyDescent="0.25"/>
    <row r="609" ht="20.25" customHeight="1" x14ac:dyDescent="0.25"/>
    <row r="610" ht="20.25" customHeight="1" x14ac:dyDescent="0.25"/>
    <row r="611" ht="20.25" customHeight="1" x14ac:dyDescent="0.25"/>
    <row r="612" ht="20.25" customHeight="1" x14ac:dyDescent="0.25"/>
    <row r="613" ht="20.25" customHeight="1" x14ac:dyDescent="0.25"/>
    <row r="614" ht="20.25" customHeight="1" x14ac:dyDescent="0.25"/>
    <row r="615" ht="20.25" customHeight="1" x14ac:dyDescent="0.25"/>
    <row r="616" ht="20.25" customHeight="1" x14ac:dyDescent="0.25"/>
    <row r="617" ht="20.25" customHeight="1" x14ac:dyDescent="0.25"/>
    <row r="618" ht="20.25" customHeight="1" x14ac:dyDescent="0.25"/>
    <row r="619" ht="20.25" customHeight="1" x14ac:dyDescent="0.25"/>
    <row r="620" ht="20.25" customHeight="1" x14ac:dyDescent="0.25"/>
    <row r="621" ht="20.25" customHeight="1" x14ac:dyDescent="0.25"/>
    <row r="622" ht="20.25" customHeight="1" x14ac:dyDescent="0.25"/>
    <row r="623" ht="20.25" customHeight="1" x14ac:dyDescent="0.25"/>
    <row r="624" ht="20.25" customHeight="1" x14ac:dyDescent="0.25"/>
    <row r="625" ht="20.25" customHeight="1" x14ac:dyDescent="0.25"/>
    <row r="626" ht="20.25" customHeight="1" x14ac:dyDescent="0.25"/>
    <row r="627" ht="20.25" customHeight="1" x14ac:dyDescent="0.25"/>
    <row r="628" ht="20.25" customHeight="1" x14ac:dyDescent="0.25"/>
    <row r="629" ht="20.25" customHeight="1" x14ac:dyDescent="0.25"/>
    <row r="630" ht="20.25" customHeight="1" x14ac:dyDescent="0.25"/>
    <row r="631" ht="20.25" customHeight="1" x14ac:dyDescent="0.25"/>
    <row r="632" ht="20.25" customHeight="1" x14ac:dyDescent="0.25"/>
    <row r="633" ht="20.25" customHeight="1" x14ac:dyDescent="0.25"/>
    <row r="634" ht="20.25" customHeight="1" x14ac:dyDescent="0.25"/>
    <row r="635" ht="20.25" customHeight="1" x14ac:dyDescent="0.25"/>
    <row r="636" ht="20.25" customHeight="1" x14ac:dyDescent="0.25"/>
    <row r="637" ht="20.25" customHeight="1" x14ac:dyDescent="0.25"/>
    <row r="638" ht="20.25" customHeight="1" x14ac:dyDescent="0.25"/>
    <row r="639" ht="20.25" customHeight="1" x14ac:dyDescent="0.25"/>
    <row r="640" ht="20.25" customHeight="1" x14ac:dyDescent="0.25"/>
    <row r="641" ht="20.25" customHeight="1" x14ac:dyDescent="0.25"/>
    <row r="642" ht="20.25" customHeight="1" x14ac:dyDescent="0.25"/>
    <row r="643" ht="20.25" customHeight="1" x14ac:dyDescent="0.25"/>
    <row r="644" ht="20.25" customHeight="1" x14ac:dyDescent="0.25"/>
    <row r="645" ht="20.25" customHeight="1" x14ac:dyDescent="0.25"/>
    <row r="646" ht="20.25" customHeight="1" x14ac:dyDescent="0.25"/>
    <row r="647" ht="20.25" customHeight="1" x14ac:dyDescent="0.25"/>
    <row r="648" ht="20.25" customHeight="1" x14ac:dyDescent="0.25"/>
    <row r="649" ht="20.25" customHeight="1" x14ac:dyDescent="0.25"/>
    <row r="650" ht="20.25" customHeight="1" x14ac:dyDescent="0.25"/>
    <row r="651" ht="20.25" customHeight="1" x14ac:dyDescent="0.25"/>
    <row r="652" ht="20.25" customHeight="1" x14ac:dyDescent="0.25"/>
    <row r="653" ht="20.25" customHeight="1" x14ac:dyDescent="0.25"/>
    <row r="654" ht="20.25" customHeight="1" x14ac:dyDescent="0.25"/>
    <row r="655" ht="20.25" customHeight="1" x14ac:dyDescent="0.25"/>
    <row r="656" ht="20.25" customHeight="1" x14ac:dyDescent="0.25"/>
    <row r="657" ht="20.25" customHeight="1" x14ac:dyDescent="0.25"/>
    <row r="658" ht="20.25" customHeight="1" x14ac:dyDescent="0.25"/>
    <row r="659" ht="20.25" customHeight="1" x14ac:dyDescent="0.25"/>
    <row r="660" ht="20.25" customHeight="1" x14ac:dyDescent="0.25"/>
    <row r="661" ht="20.25" customHeight="1" x14ac:dyDescent="0.25"/>
    <row r="662" ht="20.25" customHeight="1" x14ac:dyDescent="0.25"/>
    <row r="663" ht="20.25" customHeight="1" x14ac:dyDescent="0.25"/>
    <row r="664" ht="20.25" customHeight="1" x14ac:dyDescent="0.25"/>
    <row r="665" ht="20.25" customHeight="1" x14ac:dyDescent="0.25"/>
    <row r="666" ht="20.25" customHeight="1" x14ac:dyDescent="0.25"/>
    <row r="667" ht="20.25" customHeight="1" x14ac:dyDescent="0.25"/>
    <row r="668" ht="20.25" customHeight="1" x14ac:dyDescent="0.25"/>
    <row r="669" ht="20.25" customHeight="1" x14ac:dyDescent="0.25"/>
    <row r="670" ht="20.25" customHeight="1" x14ac:dyDescent="0.25"/>
    <row r="671" ht="20.25" customHeight="1" x14ac:dyDescent="0.25"/>
    <row r="672" ht="20.25" customHeight="1" x14ac:dyDescent="0.25"/>
    <row r="673" ht="20.25" customHeight="1" x14ac:dyDescent="0.25"/>
    <row r="674" ht="20.25" customHeight="1" x14ac:dyDescent="0.25"/>
    <row r="675" ht="20.25" customHeight="1" x14ac:dyDescent="0.25"/>
    <row r="676" ht="20.25" customHeight="1" x14ac:dyDescent="0.25"/>
    <row r="677" ht="20.25" customHeight="1" x14ac:dyDescent="0.25"/>
    <row r="678" ht="20.25" customHeight="1" x14ac:dyDescent="0.25"/>
    <row r="679" ht="20.25" customHeight="1" x14ac:dyDescent="0.25"/>
    <row r="680" ht="20.25" customHeight="1" x14ac:dyDescent="0.25"/>
    <row r="681" ht="20.25" customHeight="1" x14ac:dyDescent="0.25"/>
    <row r="682" ht="20.25" customHeight="1" x14ac:dyDescent="0.25"/>
    <row r="683" ht="20.25" customHeight="1" x14ac:dyDescent="0.25"/>
    <row r="684" ht="20.25" customHeight="1" x14ac:dyDescent="0.25"/>
    <row r="685" ht="20.25" customHeight="1" x14ac:dyDescent="0.25"/>
    <row r="686" ht="20.25" customHeight="1" x14ac:dyDescent="0.25"/>
    <row r="687" ht="20.25" customHeight="1" x14ac:dyDescent="0.25"/>
    <row r="688" ht="20.25" customHeight="1" x14ac:dyDescent="0.25"/>
    <row r="689" ht="20.25" customHeight="1" x14ac:dyDescent="0.25"/>
    <row r="690" ht="20.25" customHeight="1" x14ac:dyDescent="0.25"/>
    <row r="691" ht="20.25" customHeight="1" x14ac:dyDescent="0.25"/>
    <row r="692" ht="20.25" customHeight="1" x14ac:dyDescent="0.25"/>
    <row r="693" ht="20.25" customHeight="1" x14ac:dyDescent="0.25"/>
    <row r="694" ht="20.25" customHeight="1" x14ac:dyDescent="0.25"/>
    <row r="695" ht="20.25" customHeight="1" x14ac:dyDescent="0.25"/>
    <row r="696" ht="20.25" customHeight="1" x14ac:dyDescent="0.25"/>
    <row r="697" ht="20.25" customHeight="1" x14ac:dyDescent="0.25"/>
    <row r="698" ht="20.25" customHeight="1" x14ac:dyDescent="0.25"/>
    <row r="699" ht="20.25" customHeight="1" x14ac:dyDescent="0.25"/>
    <row r="700" ht="20.25" customHeight="1" x14ac:dyDescent="0.25"/>
    <row r="701" ht="20.25" customHeight="1" x14ac:dyDescent="0.25"/>
    <row r="702" ht="20.25" customHeight="1" x14ac:dyDescent="0.25"/>
    <row r="703" ht="20.25" customHeight="1" x14ac:dyDescent="0.25"/>
    <row r="704" ht="20.25" customHeight="1" x14ac:dyDescent="0.25"/>
    <row r="705" ht="20.25" customHeight="1" x14ac:dyDescent="0.25"/>
    <row r="706" ht="20.25" customHeight="1" x14ac:dyDescent="0.25"/>
    <row r="707" ht="20.25" customHeight="1" x14ac:dyDescent="0.25"/>
    <row r="708" ht="20.25" customHeight="1" x14ac:dyDescent="0.25"/>
    <row r="709" ht="20.25" customHeight="1" x14ac:dyDescent="0.25"/>
    <row r="710" ht="20.25" customHeight="1" x14ac:dyDescent="0.25"/>
    <row r="711" ht="20.25" customHeight="1" x14ac:dyDescent="0.25"/>
    <row r="712" ht="20.25" customHeight="1" x14ac:dyDescent="0.25"/>
    <row r="713" ht="20.25" customHeight="1" x14ac:dyDescent="0.25"/>
    <row r="714" ht="20.25" customHeight="1" x14ac:dyDescent="0.25"/>
    <row r="715" ht="20.25" customHeight="1" x14ac:dyDescent="0.25"/>
    <row r="716" ht="20.25" customHeight="1" x14ac:dyDescent="0.25"/>
    <row r="717" ht="20.25" customHeight="1" x14ac:dyDescent="0.25"/>
    <row r="718" ht="20.25" customHeight="1" x14ac:dyDescent="0.25"/>
    <row r="719" ht="20.25" customHeight="1" x14ac:dyDescent="0.25"/>
    <row r="720" ht="20.25" customHeight="1" x14ac:dyDescent="0.25"/>
    <row r="721" ht="20.25" customHeight="1" x14ac:dyDescent="0.25"/>
    <row r="722" ht="20.25" customHeight="1" x14ac:dyDescent="0.25"/>
    <row r="723" ht="20.25" customHeight="1" x14ac:dyDescent="0.25"/>
    <row r="724" ht="20.25" customHeight="1" x14ac:dyDescent="0.25"/>
    <row r="725" ht="20.25" customHeight="1" x14ac:dyDescent="0.25"/>
    <row r="726" ht="20.25" customHeight="1" x14ac:dyDescent="0.25"/>
    <row r="727" ht="20.25" customHeight="1" x14ac:dyDescent="0.25"/>
    <row r="728" ht="20.25" customHeight="1" x14ac:dyDescent="0.25"/>
    <row r="729" ht="20.25" customHeight="1" x14ac:dyDescent="0.25"/>
    <row r="730" ht="20.25" customHeight="1" x14ac:dyDescent="0.25"/>
    <row r="731" ht="20.25" customHeight="1" x14ac:dyDescent="0.25"/>
    <row r="732" ht="20.25" customHeight="1" x14ac:dyDescent="0.25"/>
    <row r="733" ht="20.25" customHeight="1" x14ac:dyDescent="0.25"/>
    <row r="734" ht="20.25" customHeight="1" x14ac:dyDescent="0.25"/>
    <row r="735" ht="20.25" customHeight="1" x14ac:dyDescent="0.25"/>
    <row r="736"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row r="746" ht="20.25" customHeight="1" x14ac:dyDescent="0.25"/>
    <row r="747" ht="20.25" customHeight="1" x14ac:dyDescent="0.25"/>
    <row r="748" ht="20.25" customHeight="1" x14ac:dyDescent="0.25"/>
    <row r="749" ht="20.25" customHeight="1" x14ac:dyDescent="0.25"/>
    <row r="750" ht="20.25" customHeight="1" x14ac:dyDescent="0.25"/>
    <row r="751" ht="20.25" customHeight="1" x14ac:dyDescent="0.25"/>
    <row r="752" ht="20.25" customHeight="1" x14ac:dyDescent="0.25"/>
    <row r="753" ht="20.25" customHeight="1" x14ac:dyDescent="0.25"/>
    <row r="754" ht="20.25" customHeight="1" x14ac:dyDescent="0.25"/>
    <row r="755" ht="20.25" customHeight="1" x14ac:dyDescent="0.25"/>
    <row r="756" ht="20.25" customHeight="1" x14ac:dyDescent="0.25"/>
    <row r="757" ht="20.25" customHeight="1" x14ac:dyDescent="0.25"/>
    <row r="758" ht="20.25" customHeight="1" x14ac:dyDescent="0.25"/>
    <row r="759" ht="20.25" customHeight="1" x14ac:dyDescent="0.25"/>
    <row r="760" ht="20.25" customHeight="1" x14ac:dyDescent="0.25"/>
    <row r="761" ht="20.25" customHeight="1" x14ac:dyDescent="0.25"/>
    <row r="762" ht="20.25" customHeight="1" x14ac:dyDescent="0.25"/>
    <row r="763" ht="20.25" customHeight="1" x14ac:dyDescent="0.25"/>
    <row r="764" ht="20.25" customHeight="1" x14ac:dyDescent="0.25"/>
    <row r="765" ht="20.25" customHeight="1" x14ac:dyDescent="0.25"/>
    <row r="766" ht="20.25" customHeight="1" x14ac:dyDescent="0.25"/>
    <row r="767" ht="20.25" customHeight="1" x14ac:dyDescent="0.25"/>
    <row r="768" ht="20.25" customHeight="1" x14ac:dyDescent="0.25"/>
    <row r="769" ht="20.25" customHeight="1" x14ac:dyDescent="0.25"/>
    <row r="770" ht="20.25" customHeight="1" x14ac:dyDescent="0.25"/>
    <row r="771" ht="20.25" customHeight="1" x14ac:dyDescent="0.25"/>
    <row r="772" ht="20.25" customHeight="1" x14ac:dyDescent="0.25"/>
    <row r="773" ht="20.25" customHeight="1" x14ac:dyDescent="0.25"/>
    <row r="774" ht="20.25" customHeight="1" x14ac:dyDescent="0.25"/>
    <row r="775" ht="20.25" customHeight="1" x14ac:dyDescent="0.25"/>
    <row r="776" ht="20.25" customHeight="1" x14ac:dyDescent="0.25"/>
    <row r="777" ht="20.25" customHeight="1" x14ac:dyDescent="0.25"/>
    <row r="778" ht="20.25" customHeight="1" x14ac:dyDescent="0.25"/>
    <row r="779" ht="20.25" customHeight="1" x14ac:dyDescent="0.25"/>
    <row r="780" ht="20.25" customHeight="1" x14ac:dyDescent="0.25"/>
    <row r="781" ht="20.25" customHeight="1" x14ac:dyDescent="0.25"/>
    <row r="782" ht="20.25" customHeight="1" x14ac:dyDescent="0.25"/>
    <row r="783" ht="20.25" customHeight="1" x14ac:dyDescent="0.25"/>
    <row r="784" ht="20.25" customHeight="1" x14ac:dyDescent="0.25"/>
    <row r="785" ht="20.25" customHeight="1" x14ac:dyDescent="0.25"/>
    <row r="786" ht="20.25" customHeight="1" x14ac:dyDescent="0.25"/>
    <row r="787" ht="20.25" customHeight="1" x14ac:dyDescent="0.25"/>
    <row r="788" ht="20.25" customHeight="1" x14ac:dyDescent="0.25"/>
    <row r="789" ht="20.25" customHeight="1" x14ac:dyDescent="0.25"/>
    <row r="790" ht="20.25" customHeight="1" x14ac:dyDescent="0.25"/>
    <row r="791" ht="20.25" customHeight="1" x14ac:dyDescent="0.25"/>
    <row r="792" ht="20.25" customHeight="1" x14ac:dyDescent="0.25"/>
    <row r="793" ht="20.25" customHeight="1" x14ac:dyDescent="0.25"/>
    <row r="794" ht="20.25" customHeight="1" x14ac:dyDescent="0.25"/>
    <row r="795" ht="20.25" customHeight="1" x14ac:dyDescent="0.25"/>
    <row r="796" ht="20.25" customHeight="1" x14ac:dyDescent="0.25"/>
    <row r="797" ht="20.25" customHeight="1" x14ac:dyDescent="0.25"/>
    <row r="798" ht="20.25" customHeight="1" x14ac:dyDescent="0.25"/>
    <row r="799" ht="20.25" customHeight="1" x14ac:dyDescent="0.25"/>
    <row r="800" ht="20.25" customHeight="1" x14ac:dyDescent="0.25"/>
    <row r="801" ht="20.25" customHeight="1" x14ac:dyDescent="0.25"/>
    <row r="802" ht="20.25" customHeight="1" x14ac:dyDescent="0.25"/>
    <row r="803" ht="20.25" customHeight="1" x14ac:dyDescent="0.25"/>
    <row r="804" ht="20.25" customHeight="1" x14ac:dyDescent="0.25"/>
    <row r="805" ht="20.25" customHeight="1" x14ac:dyDescent="0.25"/>
    <row r="806" ht="20.25" customHeight="1" x14ac:dyDescent="0.25"/>
    <row r="807" ht="20.25" customHeight="1" x14ac:dyDescent="0.25"/>
    <row r="808" ht="20.25" customHeight="1" x14ac:dyDescent="0.25"/>
    <row r="809" ht="20.25" customHeight="1" x14ac:dyDescent="0.25"/>
    <row r="810" ht="20.25" customHeight="1" x14ac:dyDescent="0.25"/>
    <row r="811" ht="20.25" customHeight="1" x14ac:dyDescent="0.25"/>
    <row r="812" ht="20.25" customHeight="1" x14ac:dyDescent="0.25"/>
    <row r="813" ht="20.25" customHeight="1" x14ac:dyDescent="0.25"/>
    <row r="814" ht="20.25" customHeight="1" x14ac:dyDescent="0.25"/>
    <row r="815" ht="20.25" customHeight="1" x14ac:dyDescent="0.25"/>
    <row r="816" ht="20.25" customHeight="1" x14ac:dyDescent="0.25"/>
    <row r="817" ht="20.25" customHeight="1" x14ac:dyDescent="0.25"/>
    <row r="818" ht="20.25" customHeight="1" x14ac:dyDescent="0.25"/>
    <row r="819" ht="20.25" customHeight="1" x14ac:dyDescent="0.25"/>
    <row r="820" ht="20.25" customHeight="1" x14ac:dyDescent="0.25"/>
    <row r="821" ht="20.25" customHeight="1" x14ac:dyDescent="0.25"/>
    <row r="822" ht="20.25" customHeight="1" x14ac:dyDescent="0.25"/>
    <row r="823" ht="20.25" customHeight="1" x14ac:dyDescent="0.25"/>
    <row r="824" ht="20.25" customHeight="1" x14ac:dyDescent="0.25"/>
    <row r="825" ht="20.25" customHeight="1" x14ac:dyDescent="0.25"/>
    <row r="826" ht="20.25" customHeight="1" x14ac:dyDescent="0.25"/>
    <row r="827" ht="20.25" customHeight="1" x14ac:dyDescent="0.25"/>
    <row r="828" ht="20.25" customHeight="1" x14ac:dyDescent="0.25"/>
    <row r="829" ht="20.25" customHeight="1" x14ac:dyDescent="0.25"/>
    <row r="830" ht="20.25" customHeight="1" x14ac:dyDescent="0.25"/>
    <row r="831" ht="20.25" customHeight="1" x14ac:dyDescent="0.25"/>
    <row r="832" ht="20.25" customHeight="1" x14ac:dyDescent="0.25"/>
    <row r="833" ht="20.25" customHeight="1" x14ac:dyDescent="0.25"/>
    <row r="834" ht="20.25" customHeight="1" x14ac:dyDescent="0.25"/>
    <row r="835" ht="20.25" customHeight="1" x14ac:dyDescent="0.25"/>
    <row r="836" ht="20.25" customHeight="1" x14ac:dyDescent="0.25"/>
    <row r="837" ht="20.25" customHeight="1" x14ac:dyDescent="0.25"/>
    <row r="838" ht="20.25" customHeight="1" x14ac:dyDescent="0.25"/>
    <row r="839" ht="20.25" customHeight="1" x14ac:dyDescent="0.25"/>
    <row r="840" ht="20.25" customHeight="1" x14ac:dyDescent="0.25"/>
    <row r="841" ht="20.25" customHeight="1" x14ac:dyDescent="0.25"/>
    <row r="842" ht="20.25" customHeight="1" x14ac:dyDescent="0.25"/>
    <row r="843" ht="20.25" customHeight="1" x14ac:dyDescent="0.25"/>
    <row r="844" ht="20.25" customHeight="1" x14ac:dyDescent="0.25"/>
    <row r="845" ht="20.25" customHeight="1" x14ac:dyDescent="0.25"/>
    <row r="846" ht="20.25" customHeight="1" x14ac:dyDescent="0.25"/>
    <row r="847" ht="20.25" customHeight="1" x14ac:dyDescent="0.25"/>
    <row r="848" ht="20.25" customHeight="1" x14ac:dyDescent="0.25"/>
    <row r="849" ht="20.25" customHeight="1" x14ac:dyDescent="0.25"/>
    <row r="850" ht="20.25" customHeight="1" x14ac:dyDescent="0.25"/>
    <row r="851" ht="20.25" customHeight="1" x14ac:dyDescent="0.25"/>
    <row r="852" ht="20.25" customHeight="1" x14ac:dyDescent="0.25"/>
    <row r="853" ht="20.25" customHeight="1" x14ac:dyDescent="0.25"/>
    <row r="854" ht="20.25" customHeight="1" x14ac:dyDescent="0.25"/>
    <row r="855" ht="20.25" customHeight="1" x14ac:dyDescent="0.25"/>
    <row r="856" ht="20.25" customHeight="1" x14ac:dyDescent="0.25"/>
    <row r="857" ht="20.25" customHeight="1" x14ac:dyDescent="0.25"/>
    <row r="858" ht="20.25" customHeight="1" x14ac:dyDescent="0.25"/>
    <row r="859" ht="20.25" customHeight="1" x14ac:dyDescent="0.25"/>
    <row r="860" ht="20.25" customHeight="1" x14ac:dyDescent="0.25"/>
    <row r="861" ht="20.25" customHeight="1" x14ac:dyDescent="0.25"/>
    <row r="862" ht="20.25" customHeight="1" x14ac:dyDescent="0.25"/>
    <row r="863" ht="20.25" customHeight="1" x14ac:dyDescent="0.25"/>
    <row r="864" ht="20.25" customHeight="1" x14ac:dyDescent="0.25"/>
    <row r="865" ht="20.25" customHeight="1" x14ac:dyDescent="0.25"/>
    <row r="866" ht="20.25" customHeight="1" x14ac:dyDescent="0.25"/>
    <row r="867" ht="20.25" customHeight="1" x14ac:dyDescent="0.25"/>
    <row r="868" ht="20.25" customHeight="1" x14ac:dyDescent="0.25"/>
    <row r="869" ht="20.25" customHeight="1" x14ac:dyDescent="0.25"/>
    <row r="870" ht="20.25" customHeight="1" x14ac:dyDescent="0.25"/>
    <row r="871" ht="20.25" customHeight="1" x14ac:dyDescent="0.25"/>
    <row r="872" ht="20.25" customHeight="1" x14ac:dyDescent="0.25"/>
    <row r="873" ht="20.25" customHeight="1" x14ac:dyDescent="0.25"/>
    <row r="874" ht="20.25" customHeight="1" x14ac:dyDescent="0.25"/>
    <row r="875" ht="20.25" customHeight="1" x14ac:dyDescent="0.25"/>
    <row r="876" ht="20.25" customHeight="1" x14ac:dyDescent="0.25"/>
    <row r="877" ht="20.25" customHeight="1" x14ac:dyDescent="0.25"/>
    <row r="878" ht="20.25" customHeight="1" x14ac:dyDescent="0.25"/>
    <row r="879" ht="20.25" customHeight="1" x14ac:dyDescent="0.25"/>
    <row r="880" ht="20.25" customHeight="1" x14ac:dyDescent="0.25"/>
    <row r="881" ht="20.25" customHeight="1" x14ac:dyDescent="0.25"/>
    <row r="882" ht="20.25" customHeight="1" x14ac:dyDescent="0.25"/>
    <row r="883" ht="20.25" customHeight="1" x14ac:dyDescent="0.25"/>
    <row r="884" ht="20.25" customHeight="1" x14ac:dyDescent="0.25"/>
    <row r="885" ht="20.25" customHeight="1" x14ac:dyDescent="0.25"/>
    <row r="886" ht="20.25" customHeight="1" x14ac:dyDescent="0.25"/>
    <row r="887" ht="20.25" customHeight="1" x14ac:dyDescent="0.25"/>
    <row r="888" ht="20.25" customHeight="1" x14ac:dyDescent="0.25"/>
    <row r="889" ht="20.25" customHeight="1" x14ac:dyDescent="0.25"/>
    <row r="890" ht="20.25" customHeight="1" x14ac:dyDescent="0.25"/>
    <row r="891" ht="20.25" customHeight="1" x14ac:dyDescent="0.25"/>
    <row r="892" ht="20.25" customHeight="1" x14ac:dyDescent="0.25"/>
    <row r="893" ht="20.25" customHeight="1" x14ac:dyDescent="0.25"/>
    <row r="894" ht="20.25" customHeight="1" x14ac:dyDescent="0.25"/>
    <row r="895" ht="20.25" customHeight="1" x14ac:dyDescent="0.25"/>
    <row r="896" ht="20.25" customHeight="1" x14ac:dyDescent="0.25"/>
    <row r="897" ht="20.25" customHeight="1" x14ac:dyDescent="0.25"/>
    <row r="898" ht="20.25" customHeight="1" x14ac:dyDescent="0.25"/>
    <row r="899" ht="20.25" customHeight="1" x14ac:dyDescent="0.25"/>
    <row r="900" ht="20.25" customHeight="1" x14ac:dyDescent="0.25"/>
    <row r="901" ht="20.25" customHeight="1" x14ac:dyDescent="0.25"/>
    <row r="902" ht="20.25" customHeight="1" x14ac:dyDescent="0.25"/>
    <row r="903" ht="20.25" customHeight="1" x14ac:dyDescent="0.25"/>
    <row r="904" ht="20.25" customHeight="1" x14ac:dyDescent="0.25"/>
    <row r="905" ht="20.25" customHeight="1" x14ac:dyDescent="0.25"/>
    <row r="906" ht="20.25" customHeight="1" x14ac:dyDescent="0.25"/>
    <row r="907" ht="20.25" customHeight="1" x14ac:dyDescent="0.25"/>
    <row r="908" ht="20.25" customHeight="1" x14ac:dyDescent="0.25"/>
    <row r="909" ht="20.25" customHeight="1" x14ac:dyDescent="0.25"/>
    <row r="910" ht="20.25" customHeight="1" x14ac:dyDescent="0.25"/>
    <row r="911" ht="20.25" customHeight="1" x14ac:dyDescent="0.25"/>
    <row r="912" ht="20.25" customHeight="1" x14ac:dyDescent="0.25"/>
    <row r="913" ht="20.25" customHeight="1" x14ac:dyDescent="0.25"/>
    <row r="914" ht="20.25" customHeight="1" x14ac:dyDescent="0.25"/>
    <row r="915" ht="20.25" customHeight="1" x14ac:dyDescent="0.25"/>
    <row r="916" ht="20.25" customHeight="1" x14ac:dyDescent="0.25"/>
    <row r="917" ht="20.25" customHeight="1" x14ac:dyDescent="0.25"/>
    <row r="918" ht="20.25" customHeight="1" x14ac:dyDescent="0.25"/>
    <row r="919" ht="20.25" customHeight="1" x14ac:dyDescent="0.25"/>
    <row r="920" ht="20.25" customHeight="1" x14ac:dyDescent="0.25"/>
    <row r="921" ht="20.25" customHeight="1" x14ac:dyDescent="0.25"/>
    <row r="922" ht="20.25" customHeight="1" x14ac:dyDescent="0.25"/>
    <row r="923" ht="20.25" customHeight="1" x14ac:dyDescent="0.25"/>
    <row r="924" ht="20.25" customHeight="1" x14ac:dyDescent="0.25"/>
    <row r="925" ht="20.25" customHeight="1" x14ac:dyDescent="0.25"/>
    <row r="926" ht="20.25" customHeight="1" x14ac:dyDescent="0.25"/>
    <row r="927" ht="20.25" customHeight="1" x14ac:dyDescent="0.25"/>
    <row r="928" ht="20.25" customHeight="1" x14ac:dyDescent="0.25"/>
    <row r="929" ht="20.25" customHeight="1" x14ac:dyDescent="0.25"/>
    <row r="930" ht="20.25" customHeight="1" x14ac:dyDescent="0.25"/>
    <row r="931" ht="20.25" customHeight="1" x14ac:dyDescent="0.25"/>
    <row r="932" ht="20.25" customHeight="1" x14ac:dyDescent="0.25"/>
    <row r="933" ht="20.25" customHeight="1" x14ac:dyDescent="0.25"/>
    <row r="934" ht="20.25" customHeight="1" x14ac:dyDescent="0.25"/>
    <row r="935" ht="20.25" customHeight="1" x14ac:dyDescent="0.25"/>
    <row r="936" ht="20.25" customHeight="1" x14ac:dyDescent="0.25"/>
    <row r="937" ht="20.25" customHeight="1" x14ac:dyDescent="0.25"/>
    <row r="938" ht="20.25" customHeight="1" x14ac:dyDescent="0.25"/>
    <row r="939" ht="20.25" customHeight="1" x14ac:dyDescent="0.25"/>
    <row r="940" ht="20.25" customHeight="1" x14ac:dyDescent="0.25"/>
    <row r="941" ht="20.25" customHeight="1" x14ac:dyDescent="0.25"/>
    <row r="942" ht="20.25" customHeight="1" x14ac:dyDescent="0.25"/>
    <row r="943" ht="20.25" customHeight="1" x14ac:dyDescent="0.25"/>
    <row r="944" ht="20.25" customHeight="1" x14ac:dyDescent="0.25"/>
    <row r="945" ht="20.25" customHeight="1" x14ac:dyDescent="0.25"/>
    <row r="946" ht="20.25" customHeight="1" x14ac:dyDescent="0.25"/>
    <row r="947" ht="20.25" customHeight="1" x14ac:dyDescent="0.25"/>
    <row r="948" ht="20.25" customHeight="1" x14ac:dyDescent="0.25"/>
    <row r="949" ht="20.25" customHeight="1" x14ac:dyDescent="0.25"/>
    <row r="950" ht="20.25" customHeight="1" x14ac:dyDescent="0.25"/>
    <row r="951" ht="20.25" customHeight="1" x14ac:dyDescent="0.25"/>
    <row r="952" ht="20.25" customHeight="1" x14ac:dyDescent="0.25"/>
    <row r="953" ht="20.25" customHeight="1" x14ac:dyDescent="0.25"/>
    <row r="954" ht="20.25" customHeight="1" x14ac:dyDescent="0.25"/>
    <row r="955" ht="20.25" customHeight="1" x14ac:dyDescent="0.25"/>
    <row r="956" ht="20.25" customHeight="1" x14ac:dyDescent="0.25"/>
    <row r="957" ht="20.25" customHeight="1" x14ac:dyDescent="0.25"/>
    <row r="958" ht="20.25" customHeight="1" x14ac:dyDescent="0.25"/>
    <row r="959" ht="20.25" customHeight="1" x14ac:dyDescent="0.25"/>
    <row r="960" ht="20.25" customHeight="1" x14ac:dyDescent="0.25"/>
    <row r="961" ht="20.25" customHeight="1" x14ac:dyDescent="0.25"/>
    <row r="962" ht="20.25" customHeight="1" x14ac:dyDescent="0.25"/>
    <row r="963" ht="20.25" customHeight="1" x14ac:dyDescent="0.25"/>
    <row r="964" ht="20.25" customHeight="1" x14ac:dyDescent="0.25"/>
    <row r="965" ht="20.25" customHeight="1" x14ac:dyDescent="0.25"/>
    <row r="966" ht="20.25" customHeight="1" x14ac:dyDescent="0.25"/>
    <row r="967" ht="20.25" customHeight="1" x14ac:dyDescent="0.25"/>
    <row r="968" ht="20.25" customHeight="1" x14ac:dyDescent="0.25"/>
    <row r="969" ht="20.25" customHeight="1" x14ac:dyDescent="0.25"/>
    <row r="970" ht="20.25" customHeight="1" x14ac:dyDescent="0.25"/>
    <row r="971" ht="20.25" customHeight="1" x14ac:dyDescent="0.25"/>
    <row r="972" ht="20.25" customHeight="1" x14ac:dyDescent="0.25"/>
    <row r="973" ht="20.25" customHeight="1" x14ac:dyDescent="0.25"/>
    <row r="974" ht="20.25" customHeight="1" x14ac:dyDescent="0.25"/>
    <row r="975" ht="20.25" customHeight="1" x14ac:dyDescent="0.25"/>
    <row r="976" ht="20.25" customHeight="1" x14ac:dyDescent="0.25"/>
    <row r="977" ht="20.25" customHeight="1" x14ac:dyDescent="0.25"/>
    <row r="978" ht="20.25" customHeight="1" x14ac:dyDescent="0.25"/>
    <row r="979" ht="20.25" customHeight="1" x14ac:dyDescent="0.25"/>
    <row r="980" ht="20.25" customHeight="1" x14ac:dyDescent="0.25"/>
    <row r="981" ht="20.25" customHeight="1" x14ac:dyDescent="0.25"/>
    <row r="982" ht="20.25" customHeight="1" x14ac:dyDescent="0.25"/>
    <row r="983" ht="20.25" customHeight="1" x14ac:dyDescent="0.25"/>
    <row r="984" ht="20.25" customHeight="1" x14ac:dyDescent="0.25"/>
    <row r="985" ht="20.25" customHeight="1" x14ac:dyDescent="0.25"/>
    <row r="986" ht="20.25" customHeight="1" x14ac:dyDescent="0.25"/>
    <row r="987" ht="20.25" customHeight="1" x14ac:dyDescent="0.25"/>
    <row r="988" ht="20.25" customHeight="1" x14ac:dyDescent="0.25"/>
    <row r="989" ht="20.25" customHeight="1" x14ac:dyDescent="0.25"/>
    <row r="990" ht="20.25" customHeight="1" x14ac:dyDescent="0.25"/>
    <row r="991" ht="20.25" customHeight="1" x14ac:dyDescent="0.25"/>
    <row r="992" ht="20.25" customHeight="1" x14ac:dyDescent="0.25"/>
    <row r="993" ht="20.25" customHeight="1" x14ac:dyDescent="0.25"/>
    <row r="994" ht="20.25" customHeight="1" x14ac:dyDescent="0.25"/>
    <row r="995" ht="20.25" customHeight="1" x14ac:dyDescent="0.25"/>
    <row r="996" ht="20.25" customHeight="1" x14ac:dyDescent="0.25"/>
    <row r="997" ht="20.25" customHeight="1" x14ac:dyDescent="0.25"/>
    <row r="998" ht="20.25" customHeight="1" x14ac:dyDescent="0.25"/>
    <row r="999" ht="20.25" customHeight="1" x14ac:dyDescent="0.25"/>
    <row r="1000" ht="20.25" customHeight="1" x14ac:dyDescent="0.25"/>
    <row r="1001" ht="20.25" customHeight="1" x14ac:dyDescent="0.25"/>
    <row r="1002" ht="20.25" customHeight="1" x14ac:dyDescent="0.25"/>
    <row r="1003" ht="20.25" customHeight="1" x14ac:dyDescent="0.25"/>
    <row r="1004" ht="20.25" customHeight="1" x14ac:dyDescent="0.25"/>
    <row r="1005" ht="20.25" customHeight="1" x14ac:dyDescent="0.25"/>
    <row r="1006" ht="20.25" customHeight="1" x14ac:dyDescent="0.25"/>
    <row r="1007" ht="20.25" customHeight="1" x14ac:dyDescent="0.25"/>
    <row r="1008" ht="20.25" customHeight="1" x14ac:dyDescent="0.25"/>
    <row r="1009" ht="20.25" customHeight="1" x14ac:dyDescent="0.25"/>
    <row r="1010" ht="20.25" customHeight="1" x14ac:dyDescent="0.25"/>
    <row r="1011" ht="20.25" customHeight="1" x14ac:dyDescent="0.25"/>
    <row r="1012" ht="20.25" customHeight="1" x14ac:dyDescent="0.25"/>
    <row r="1013" ht="20.25" customHeight="1" x14ac:dyDescent="0.25"/>
    <row r="1014" ht="20.25" customHeight="1" x14ac:dyDescent="0.25"/>
    <row r="1015" ht="20.25" customHeight="1" x14ac:dyDescent="0.25"/>
    <row r="1016" ht="20.25" customHeight="1" x14ac:dyDescent="0.25"/>
    <row r="1017" ht="20.25" customHeight="1" x14ac:dyDescent="0.25"/>
    <row r="1018" ht="20.25" customHeight="1" x14ac:dyDescent="0.25"/>
    <row r="1019" ht="20.25" customHeight="1" x14ac:dyDescent="0.25"/>
    <row r="1020" ht="20.25" customHeight="1" x14ac:dyDescent="0.25"/>
    <row r="1021" ht="20.25" customHeight="1" x14ac:dyDescent="0.25"/>
    <row r="1022" ht="20.25" customHeight="1" x14ac:dyDescent="0.25"/>
    <row r="1023" ht="20.25" customHeight="1" x14ac:dyDescent="0.25"/>
    <row r="1024" ht="20.25" customHeight="1" x14ac:dyDescent="0.25"/>
    <row r="1025" ht="20.25" customHeight="1" x14ac:dyDescent="0.25"/>
    <row r="1026" ht="20.25" customHeight="1" x14ac:dyDescent="0.25"/>
    <row r="1027" ht="20.25" customHeight="1" x14ac:dyDescent="0.25"/>
    <row r="1028" ht="20.25" customHeight="1" x14ac:dyDescent="0.25"/>
    <row r="1029" ht="20.25" customHeight="1" x14ac:dyDescent="0.25"/>
    <row r="1030" ht="20.25" customHeight="1" x14ac:dyDescent="0.25"/>
    <row r="1031" ht="20.25" customHeight="1" x14ac:dyDescent="0.25"/>
    <row r="1032" ht="20.25" customHeight="1" x14ac:dyDescent="0.25"/>
    <row r="1033" ht="20.25" customHeight="1" x14ac:dyDescent="0.25"/>
    <row r="1034" ht="20.25" customHeight="1" x14ac:dyDescent="0.25"/>
    <row r="1035" ht="20.25" customHeight="1" x14ac:dyDescent="0.25"/>
    <row r="1036" ht="20.25" customHeight="1" x14ac:dyDescent="0.25"/>
    <row r="1037" ht="20.25" customHeight="1" x14ac:dyDescent="0.25"/>
    <row r="1038" ht="20.25" customHeight="1" x14ac:dyDescent="0.25"/>
    <row r="1039" ht="20.25" customHeight="1" x14ac:dyDescent="0.25"/>
    <row r="1040" ht="20.25" customHeight="1" x14ac:dyDescent="0.25"/>
    <row r="1041" ht="20.25" customHeight="1" x14ac:dyDescent="0.25"/>
    <row r="1042" ht="20.25" customHeight="1" x14ac:dyDescent="0.25"/>
    <row r="1043" ht="20.25" customHeight="1" x14ac:dyDescent="0.25"/>
    <row r="1044" ht="20.25" customHeight="1" x14ac:dyDescent="0.25"/>
    <row r="1045" ht="20.25" customHeight="1" x14ac:dyDescent="0.25"/>
    <row r="1046" ht="20.25" customHeight="1" x14ac:dyDescent="0.25"/>
    <row r="1047" ht="20.25" customHeight="1" x14ac:dyDescent="0.25"/>
    <row r="1048" ht="20.25" customHeight="1" x14ac:dyDescent="0.25"/>
    <row r="1049" ht="20.25" customHeight="1" x14ac:dyDescent="0.25"/>
    <row r="1050" ht="20.25" customHeight="1" x14ac:dyDescent="0.25"/>
    <row r="1051" ht="20.25" customHeight="1" x14ac:dyDescent="0.25"/>
    <row r="1052" ht="20.25" customHeight="1" x14ac:dyDescent="0.25"/>
    <row r="1053" ht="20.25" customHeight="1" x14ac:dyDescent="0.25"/>
    <row r="1054" ht="20.25" customHeight="1" x14ac:dyDescent="0.25"/>
    <row r="1055" ht="20.25" customHeight="1" x14ac:dyDescent="0.25"/>
    <row r="1056" ht="20.25" customHeight="1" x14ac:dyDescent="0.25"/>
    <row r="1057" ht="20.25" customHeight="1" x14ac:dyDescent="0.25"/>
    <row r="1058" ht="20.25" customHeight="1" x14ac:dyDescent="0.25"/>
    <row r="1059" ht="20.25" customHeight="1" x14ac:dyDescent="0.25"/>
    <row r="1060" ht="20.25" customHeight="1" x14ac:dyDescent="0.25"/>
    <row r="1061" ht="20.25" customHeight="1" x14ac:dyDescent="0.25"/>
    <row r="1062" ht="20.25" customHeight="1" x14ac:dyDescent="0.25"/>
    <row r="1063" ht="20.25" customHeight="1" x14ac:dyDescent="0.25"/>
    <row r="1064" ht="20.25" customHeight="1" x14ac:dyDescent="0.25"/>
    <row r="1065" ht="20.25" customHeight="1" x14ac:dyDescent="0.25"/>
    <row r="1066" ht="20.25" customHeight="1" x14ac:dyDescent="0.25"/>
  </sheetData>
  <mergeCells count="5">
    <mergeCell ref="E1:F1"/>
    <mergeCell ref="A4:F4"/>
    <mergeCell ref="A5:F5"/>
    <mergeCell ref="E6:F6"/>
    <mergeCell ref="A26:B26"/>
  </mergeCells>
  <pageMargins left="0.7" right="0.33" top="0.53"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70" zoomScaleNormal="70" workbookViewId="0">
      <selection activeCell="G14" sqref="G14"/>
    </sheetView>
  </sheetViews>
  <sheetFormatPr defaultRowHeight="15.75" x14ac:dyDescent="0.25"/>
  <cols>
    <col min="1" max="1" width="6.28515625" style="180" customWidth="1"/>
    <col min="2" max="2" width="26.85546875" style="180" customWidth="1"/>
    <col min="3" max="3" width="13.28515625" style="180" customWidth="1"/>
    <col min="4" max="4" width="13.7109375" style="180" customWidth="1"/>
    <col min="5" max="5" width="11.5703125" style="180" customWidth="1"/>
    <col min="6" max="6" width="12.5703125" style="180" customWidth="1"/>
    <col min="7" max="8" width="11.85546875" style="180" customWidth="1"/>
    <col min="9" max="9" width="12.28515625" style="180" customWidth="1"/>
    <col min="10" max="13" width="10.42578125" style="180" bestFit="1" customWidth="1"/>
    <col min="14" max="14" width="13.140625" style="180" customWidth="1"/>
    <col min="15" max="15" width="12.140625" style="180" customWidth="1"/>
    <col min="16" max="256" width="9.140625" style="180"/>
    <col min="257" max="257" width="6.28515625" style="180" customWidth="1"/>
    <col min="258" max="258" width="32.7109375" style="180" customWidth="1"/>
    <col min="259" max="259" width="15.42578125" style="180" customWidth="1"/>
    <col min="260" max="261" width="15.28515625" style="180" customWidth="1"/>
    <col min="262" max="262" width="15.140625" style="180" customWidth="1"/>
    <col min="263" max="264" width="11.85546875" style="180" customWidth="1"/>
    <col min="265" max="265" width="12.28515625" style="180" customWidth="1"/>
    <col min="266" max="269" width="10.42578125" style="180" bestFit="1" customWidth="1"/>
    <col min="270" max="270" width="15.140625" style="180" customWidth="1"/>
    <col min="271" max="271" width="14.140625" style="180" customWidth="1"/>
    <col min="272" max="512" width="9.140625" style="180"/>
    <col min="513" max="513" width="6.28515625" style="180" customWidth="1"/>
    <col min="514" max="514" width="32.7109375" style="180" customWidth="1"/>
    <col min="515" max="515" width="15.42578125" style="180" customWidth="1"/>
    <col min="516" max="517" width="15.28515625" style="180" customWidth="1"/>
    <col min="518" max="518" width="15.140625" style="180" customWidth="1"/>
    <col min="519" max="520" width="11.85546875" style="180" customWidth="1"/>
    <col min="521" max="521" width="12.28515625" style="180" customWidth="1"/>
    <col min="522" max="525" width="10.42578125" style="180" bestFit="1" customWidth="1"/>
    <col min="526" max="526" width="15.140625" style="180" customWidth="1"/>
    <col min="527" max="527" width="14.140625" style="180" customWidth="1"/>
    <col min="528" max="768" width="9.140625" style="180"/>
    <col min="769" max="769" width="6.28515625" style="180" customWidth="1"/>
    <col min="770" max="770" width="32.7109375" style="180" customWidth="1"/>
    <col min="771" max="771" width="15.42578125" style="180" customWidth="1"/>
    <col min="772" max="773" width="15.28515625" style="180" customWidth="1"/>
    <col min="774" max="774" width="15.140625" style="180" customWidth="1"/>
    <col min="775" max="776" width="11.85546875" style="180" customWidth="1"/>
    <col min="777" max="777" width="12.28515625" style="180" customWidth="1"/>
    <col min="778" max="781" width="10.42578125" style="180" bestFit="1" customWidth="1"/>
    <col min="782" max="782" width="15.140625" style="180" customWidth="1"/>
    <col min="783" max="783" width="14.140625" style="180" customWidth="1"/>
    <col min="784" max="1024" width="9.140625" style="180"/>
    <col min="1025" max="1025" width="6.28515625" style="180" customWidth="1"/>
    <col min="1026" max="1026" width="32.7109375" style="180" customWidth="1"/>
    <col min="1027" max="1027" width="15.42578125" style="180" customWidth="1"/>
    <col min="1028" max="1029" width="15.28515625" style="180" customWidth="1"/>
    <col min="1030" max="1030" width="15.140625" style="180" customWidth="1"/>
    <col min="1031" max="1032" width="11.85546875" style="180" customWidth="1"/>
    <col min="1033" max="1033" width="12.28515625" style="180" customWidth="1"/>
    <col min="1034" max="1037" width="10.42578125" style="180" bestFit="1" customWidth="1"/>
    <col min="1038" max="1038" width="15.140625" style="180" customWidth="1"/>
    <col min="1039" max="1039" width="14.140625" style="180" customWidth="1"/>
    <col min="1040" max="1280" width="9.140625" style="180"/>
    <col min="1281" max="1281" width="6.28515625" style="180" customWidth="1"/>
    <col min="1282" max="1282" width="32.7109375" style="180" customWidth="1"/>
    <col min="1283" max="1283" width="15.42578125" style="180" customWidth="1"/>
    <col min="1284" max="1285" width="15.28515625" style="180" customWidth="1"/>
    <col min="1286" max="1286" width="15.140625" style="180" customWidth="1"/>
    <col min="1287" max="1288" width="11.85546875" style="180" customWidth="1"/>
    <col min="1289" max="1289" width="12.28515625" style="180" customWidth="1"/>
    <col min="1290" max="1293" width="10.42578125" style="180" bestFit="1" customWidth="1"/>
    <col min="1294" max="1294" width="15.140625" style="180" customWidth="1"/>
    <col min="1295" max="1295" width="14.140625" style="180" customWidth="1"/>
    <col min="1296" max="1536" width="9.140625" style="180"/>
    <col min="1537" max="1537" width="6.28515625" style="180" customWidth="1"/>
    <col min="1538" max="1538" width="32.7109375" style="180" customWidth="1"/>
    <col min="1539" max="1539" width="15.42578125" style="180" customWidth="1"/>
    <col min="1540" max="1541" width="15.28515625" style="180" customWidth="1"/>
    <col min="1542" max="1542" width="15.140625" style="180" customWidth="1"/>
    <col min="1543" max="1544" width="11.85546875" style="180" customWidth="1"/>
    <col min="1545" max="1545" width="12.28515625" style="180" customWidth="1"/>
    <col min="1546" max="1549" width="10.42578125" style="180" bestFit="1" customWidth="1"/>
    <col min="1550" max="1550" width="15.140625" style="180" customWidth="1"/>
    <col min="1551" max="1551" width="14.140625" style="180" customWidth="1"/>
    <col min="1552" max="1792" width="9.140625" style="180"/>
    <col min="1793" max="1793" width="6.28515625" style="180" customWidth="1"/>
    <col min="1794" max="1794" width="32.7109375" style="180" customWidth="1"/>
    <col min="1795" max="1795" width="15.42578125" style="180" customWidth="1"/>
    <col min="1796" max="1797" width="15.28515625" style="180" customWidth="1"/>
    <col min="1798" max="1798" width="15.140625" style="180" customWidth="1"/>
    <col min="1799" max="1800" width="11.85546875" style="180" customWidth="1"/>
    <col min="1801" max="1801" width="12.28515625" style="180" customWidth="1"/>
    <col min="1802" max="1805" width="10.42578125" style="180" bestFit="1" customWidth="1"/>
    <col min="1806" max="1806" width="15.140625" style="180" customWidth="1"/>
    <col min="1807" max="1807" width="14.140625" style="180" customWidth="1"/>
    <col min="1808" max="2048" width="9.140625" style="180"/>
    <col min="2049" max="2049" width="6.28515625" style="180" customWidth="1"/>
    <col min="2050" max="2050" width="32.7109375" style="180" customWidth="1"/>
    <col min="2051" max="2051" width="15.42578125" style="180" customWidth="1"/>
    <col min="2052" max="2053" width="15.28515625" style="180" customWidth="1"/>
    <col min="2054" max="2054" width="15.140625" style="180" customWidth="1"/>
    <col min="2055" max="2056" width="11.85546875" style="180" customWidth="1"/>
    <col min="2057" max="2057" width="12.28515625" style="180" customWidth="1"/>
    <col min="2058" max="2061" width="10.42578125" style="180" bestFit="1" customWidth="1"/>
    <col min="2062" max="2062" width="15.140625" style="180" customWidth="1"/>
    <col min="2063" max="2063" width="14.140625" style="180" customWidth="1"/>
    <col min="2064" max="2304" width="9.140625" style="180"/>
    <col min="2305" max="2305" width="6.28515625" style="180" customWidth="1"/>
    <col min="2306" max="2306" width="32.7109375" style="180" customWidth="1"/>
    <col min="2307" max="2307" width="15.42578125" style="180" customWidth="1"/>
    <col min="2308" max="2309" width="15.28515625" style="180" customWidth="1"/>
    <col min="2310" max="2310" width="15.140625" style="180" customWidth="1"/>
    <col min="2311" max="2312" width="11.85546875" style="180" customWidth="1"/>
    <col min="2313" max="2313" width="12.28515625" style="180" customWidth="1"/>
    <col min="2314" max="2317" width="10.42578125" style="180" bestFit="1" customWidth="1"/>
    <col min="2318" max="2318" width="15.140625" style="180" customWidth="1"/>
    <col min="2319" max="2319" width="14.140625" style="180" customWidth="1"/>
    <col min="2320" max="2560" width="9.140625" style="180"/>
    <col min="2561" max="2561" width="6.28515625" style="180" customWidth="1"/>
    <col min="2562" max="2562" width="32.7109375" style="180" customWidth="1"/>
    <col min="2563" max="2563" width="15.42578125" style="180" customWidth="1"/>
    <col min="2564" max="2565" width="15.28515625" style="180" customWidth="1"/>
    <col min="2566" max="2566" width="15.140625" style="180" customWidth="1"/>
    <col min="2567" max="2568" width="11.85546875" style="180" customWidth="1"/>
    <col min="2569" max="2569" width="12.28515625" style="180" customWidth="1"/>
    <col min="2570" max="2573" width="10.42578125" style="180" bestFit="1" customWidth="1"/>
    <col min="2574" max="2574" width="15.140625" style="180" customWidth="1"/>
    <col min="2575" max="2575" width="14.140625" style="180" customWidth="1"/>
    <col min="2576" max="2816" width="9.140625" style="180"/>
    <col min="2817" max="2817" width="6.28515625" style="180" customWidth="1"/>
    <col min="2818" max="2818" width="32.7109375" style="180" customWidth="1"/>
    <col min="2819" max="2819" width="15.42578125" style="180" customWidth="1"/>
    <col min="2820" max="2821" width="15.28515625" style="180" customWidth="1"/>
    <col min="2822" max="2822" width="15.140625" style="180" customWidth="1"/>
    <col min="2823" max="2824" width="11.85546875" style="180" customWidth="1"/>
    <col min="2825" max="2825" width="12.28515625" style="180" customWidth="1"/>
    <col min="2826" max="2829" width="10.42578125" style="180" bestFit="1" customWidth="1"/>
    <col min="2830" max="2830" width="15.140625" style="180" customWidth="1"/>
    <col min="2831" max="2831" width="14.140625" style="180" customWidth="1"/>
    <col min="2832" max="3072" width="9.140625" style="180"/>
    <col min="3073" max="3073" width="6.28515625" style="180" customWidth="1"/>
    <col min="3074" max="3074" width="32.7109375" style="180" customWidth="1"/>
    <col min="3075" max="3075" width="15.42578125" style="180" customWidth="1"/>
    <col min="3076" max="3077" width="15.28515625" style="180" customWidth="1"/>
    <col min="3078" max="3078" width="15.140625" style="180" customWidth="1"/>
    <col min="3079" max="3080" width="11.85546875" style="180" customWidth="1"/>
    <col min="3081" max="3081" width="12.28515625" style="180" customWidth="1"/>
    <col min="3082" max="3085" width="10.42578125" style="180" bestFit="1" customWidth="1"/>
    <col min="3086" max="3086" width="15.140625" style="180" customWidth="1"/>
    <col min="3087" max="3087" width="14.140625" style="180" customWidth="1"/>
    <col min="3088" max="3328" width="9.140625" style="180"/>
    <col min="3329" max="3329" width="6.28515625" style="180" customWidth="1"/>
    <col min="3330" max="3330" width="32.7109375" style="180" customWidth="1"/>
    <col min="3331" max="3331" width="15.42578125" style="180" customWidth="1"/>
    <col min="3332" max="3333" width="15.28515625" style="180" customWidth="1"/>
    <col min="3334" max="3334" width="15.140625" style="180" customWidth="1"/>
    <col min="3335" max="3336" width="11.85546875" style="180" customWidth="1"/>
    <col min="3337" max="3337" width="12.28515625" style="180" customWidth="1"/>
    <col min="3338" max="3341" width="10.42578125" style="180" bestFit="1" customWidth="1"/>
    <col min="3342" max="3342" width="15.140625" style="180" customWidth="1"/>
    <col min="3343" max="3343" width="14.140625" style="180" customWidth="1"/>
    <col min="3344" max="3584" width="9.140625" style="180"/>
    <col min="3585" max="3585" width="6.28515625" style="180" customWidth="1"/>
    <col min="3586" max="3586" width="32.7109375" style="180" customWidth="1"/>
    <col min="3587" max="3587" width="15.42578125" style="180" customWidth="1"/>
    <col min="3588" max="3589" width="15.28515625" style="180" customWidth="1"/>
    <col min="3590" max="3590" width="15.140625" style="180" customWidth="1"/>
    <col min="3591" max="3592" width="11.85546875" style="180" customWidth="1"/>
    <col min="3593" max="3593" width="12.28515625" style="180" customWidth="1"/>
    <col min="3594" max="3597" width="10.42578125" style="180" bestFit="1" customWidth="1"/>
    <col min="3598" max="3598" width="15.140625" style="180" customWidth="1"/>
    <col min="3599" max="3599" width="14.140625" style="180" customWidth="1"/>
    <col min="3600" max="3840" width="9.140625" style="180"/>
    <col min="3841" max="3841" width="6.28515625" style="180" customWidth="1"/>
    <col min="3842" max="3842" width="32.7109375" style="180" customWidth="1"/>
    <col min="3843" max="3843" width="15.42578125" style="180" customWidth="1"/>
    <col min="3844" max="3845" width="15.28515625" style="180" customWidth="1"/>
    <col min="3846" max="3846" width="15.140625" style="180" customWidth="1"/>
    <col min="3847" max="3848" width="11.85546875" style="180" customWidth="1"/>
    <col min="3849" max="3849" width="12.28515625" style="180" customWidth="1"/>
    <col min="3850" max="3853" width="10.42578125" style="180" bestFit="1" customWidth="1"/>
    <col min="3854" max="3854" width="15.140625" style="180" customWidth="1"/>
    <col min="3855" max="3855" width="14.140625" style="180" customWidth="1"/>
    <col min="3856" max="4096" width="9.140625" style="180"/>
    <col min="4097" max="4097" width="6.28515625" style="180" customWidth="1"/>
    <col min="4098" max="4098" width="32.7109375" style="180" customWidth="1"/>
    <col min="4099" max="4099" width="15.42578125" style="180" customWidth="1"/>
    <col min="4100" max="4101" width="15.28515625" style="180" customWidth="1"/>
    <col min="4102" max="4102" width="15.140625" style="180" customWidth="1"/>
    <col min="4103" max="4104" width="11.85546875" style="180" customWidth="1"/>
    <col min="4105" max="4105" width="12.28515625" style="180" customWidth="1"/>
    <col min="4106" max="4109" width="10.42578125" style="180" bestFit="1" customWidth="1"/>
    <col min="4110" max="4110" width="15.140625" style="180" customWidth="1"/>
    <col min="4111" max="4111" width="14.140625" style="180" customWidth="1"/>
    <col min="4112" max="4352" width="9.140625" style="180"/>
    <col min="4353" max="4353" width="6.28515625" style="180" customWidth="1"/>
    <col min="4354" max="4354" width="32.7109375" style="180" customWidth="1"/>
    <col min="4355" max="4355" width="15.42578125" style="180" customWidth="1"/>
    <col min="4356" max="4357" width="15.28515625" style="180" customWidth="1"/>
    <col min="4358" max="4358" width="15.140625" style="180" customWidth="1"/>
    <col min="4359" max="4360" width="11.85546875" style="180" customWidth="1"/>
    <col min="4361" max="4361" width="12.28515625" style="180" customWidth="1"/>
    <col min="4362" max="4365" width="10.42578125" style="180" bestFit="1" customWidth="1"/>
    <col min="4366" max="4366" width="15.140625" style="180" customWidth="1"/>
    <col min="4367" max="4367" width="14.140625" style="180" customWidth="1"/>
    <col min="4368" max="4608" width="9.140625" style="180"/>
    <col min="4609" max="4609" width="6.28515625" style="180" customWidth="1"/>
    <col min="4610" max="4610" width="32.7109375" style="180" customWidth="1"/>
    <col min="4611" max="4611" width="15.42578125" style="180" customWidth="1"/>
    <col min="4612" max="4613" width="15.28515625" style="180" customWidth="1"/>
    <col min="4614" max="4614" width="15.140625" style="180" customWidth="1"/>
    <col min="4615" max="4616" width="11.85546875" style="180" customWidth="1"/>
    <col min="4617" max="4617" width="12.28515625" style="180" customWidth="1"/>
    <col min="4618" max="4621" width="10.42578125" style="180" bestFit="1" customWidth="1"/>
    <col min="4622" max="4622" width="15.140625" style="180" customWidth="1"/>
    <col min="4623" max="4623" width="14.140625" style="180" customWidth="1"/>
    <col min="4624" max="4864" width="9.140625" style="180"/>
    <col min="4865" max="4865" width="6.28515625" style="180" customWidth="1"/>
    <col min="4866" max="4866" width="32.7109375" style="180" customWidth="1"/>
    <col min="4867" max="4867" width="15.42578125" style="180" customWidth="1"/>
    <col min="4868" max="4869" width="15.28515625" style="180" customWidth="1"/>
    <col min="4870" max="4870" width="15.140625" style="180" customWidth="1"/>
    <col min="4871" max="4872" width="11.85546875" style="180" customWidth="1"/>
    <col min="4873" max="4873" width="12.28515625" style="180" customWidth="1"/>
    <col min="4874" max="4877" width="10.42578125" style="180" bestFit="1" customWidth="1"/>
    <col min="4878" max="4878" width="15.140625" style="180" customWidth="1"/>
    <col min="4879" max="4879" width="14.140625" style="180" customWidth="1"/>
    <col min="4880" max="5120" width="9.140625" style="180"/>
    <col min="5121" max="5121" width="6.28515625" style="180" customWidth="1"/>
    <col min="5122" max="5122" width="32.7109375" style="180" customWidth="1"/>
    <col min="5123" max="5123" width="15.42578125" style="180" customWidth="1"/>
    <col min="5124" max="5125" width="15.28515625" style="180" customWidth="1"/>
    <col min="5126" max="5126" width="15.140625" style="180" customWidth="1"/>
    <col min="5127" max="5128" width="11.85546875" style="180" customWidth="1"/>
    <col min="5129" max="5129" width="12.28515625" style="180" customWidth="1"/>
    <col min="5130" max="5133" width="10.42578125" style="180" bestFit="1" customWidth="1"/>
    <col min="5134" max="5134" width="15.140625" style="180" customWidth="1"/>
    <col min="5135" max="5135" width="14.140625" style="180" customWidth="1"/>
    <col min="5136" max="5376" width="9.140625" style="180"/>
    <col min="5377" max="5377" width="6.28515625" style="180" customWidth="1"/>
    <col min="5378" max="5378" width="32.7109375" style="180" customWidth="1"/>
    <col min="5379" max="5379" width="15.42578125" style="180" customWidth="1"/>
    <col min="5380" max="5381" width="15.28515625" style="180" customWidth="1"/>
    <col min="5382" max="5382" width="15.140625" style="180" customWidth="1"/>
    <col min="5383" max="5384" width="11.85546875" style="180" customWidth="1"/>
    <col min="5385" max="5385" width="12.28515625" style="180" customWidth="1"/>
    <col min="5386" max="5389" width="10.42578125" style="180" bestFit="1" customWidth="1"/>
    <col min="5390" max="5390" width="15.140625" style="180" customWidth="1"/>
    <col min="5391" max="5391" width="14.140625" style="180" customWidth="1"/>
    <col min="5392" max="5632" width="9.140625" style="180"/>
    <col min="5633" max="5633" width="6.28515625" style="180" customWidth="1"/>
    <col min="5634" max="5634" width="32.7109375" style="180" customWidth="1"/>
    <col min="5635" max="5635" width="15.42578125" style="180" customWidth="1"/>
    <col min="5636" max="5637" width="15.28515625" style="180" customWidth="1"/>
    <col min="5638" max="5638" width="15.140625" style="180" customWidth="1"/>
    <col min="5639" max="5640" width="11.85546875" style="180" customWidth="1"/>
    <col min="5641" max="5641" width="12.28515625" style="180" customWidth="1"/>
    <col min="5642" max="5645" width="10.42578125" style="180" bestFit="1" customWidth="1"/>
    <col min="5646" max="5646" width="15.140625" style="180" customWidth="1"/>
    <col min="5647" max="5647" width="14.140625" style="180" customWidth="1"/>
    <col min="5648" max="5888" width="9.140625" style="180"/>
    <col min="5889" max="5889" width="6.28515625" style="180" customWidth="1"/>
    <col min="5890" max="5890" width="32.7109375" style="180" customWidth="1"/>
    <col min="5891" max="5891" width="15.42578125" style="180" customWidth="1"/>
    <col min="5892" max="5893" width="15.28515625" style="180" customWidth="1"/>
    <col min="5894" max="5894" width="15.140625" style="180" customWidth="1"/>
    <col min="5895" max="5896" width="11.85546875" style="180" customWidth="1"/>
    <col min="5897" max="5897" width="12.28515625" style="180" customWidth="1"/>
    <col min="5898" max="5901" width="10.42578125" style="180" bestFit="1" customWidth="1"/>
    <col min="5902" max="5902" width="15.140625" style="180" customWidth="1"/>
    <col min="5903" max="5903" width="14.140625" style="180" customWidth="1"/>
    <col min="5904" max="6144" width="9.140625" style="180"/>
    <col min="6145" max="6145" width="6.28515625" style="180" customWidth="1"/>
    <col min="6146" max="6146" width="32.7109375" style="180" customWidth="1"/>
    <col min="6147" max="6147" width="15.42578125" style="180" customWidth="1"/>
    <col min="6148" max="6149" width="15.28515625" style="180" customWidth="1"/>
    <col min="6150" max="6150" width="15.140625" style="180" customWidth="1"/>
    <col min="6151" max="6152" width="11.85546875" style="180" customWidth="1"/>
    <col min="6153" max="6153" width="12.28515625" style="180" customWidth="1"/>
    <col min="6154" max="6157" width="10.42578125" style="180" bestFit="1" customWidth="1"/>
    <col min="6158" max="6158" width="15.140625" style="180" customWidth="1"/>
    <col min="6159" max="6159" width="14.140625" style="180" customWidth="1"/>
    <col min="6160" max="6400" width="9.140625" style="180"/>
    <col min="6401" max="6401" width="6.28515625" style="180" customWidth="1"/>
    <col min="6402" max="6402" width="32.7109375" style="180" customWidth="1"/>
    <col min="6403" max="6403" width="15.42578125" style="180" customWidth="1"/>
    <col min="6404" max="6405" width="15.28515625" style="180" customWidth="1"/>
    <col min="6406" max="6406" width="15.140625" style="180" customWidth="1"/>
    <col min="6407" max="6408" width="11.85546875" style="180" customWidth="1"/>
    <col min="6409" max="6409" width="12.28515625" style="180" customWidth="1"/>
    <col min="6410" max="6413" width="10.42578125" style="180" bestFit="1" customWidth="1"/>
    <col min="6414" max="6414" width="15.140625" style="180" customWidth="1"/>
    <col min="6415" max="6415" width="14.140625" style="180" customWidth="1"/>
    <col min="6416" max="6656" width="9.140625" style="180"/>
    <col min="6657" max="6657" width="6.28515625" style="180" customWidth="1"/>
    <col min="6658" max="6658" width="32.7109375" style="180" customWidth="1"/>
    <col min="6659" max="6659" width="15.42578125" style="180" customWidth="1"/>
    <col min="6660" max="6661" width="15.28515625" style="180" customWidth="1"/>
    <col min="6662" max="6662" width="15.140625" style="180" customWidth="1"/>
    <col min="6663" max="6664" width="11.85546875" style="180" customWidth="1"/>
    <col min="6665" max="6665" width="12.28515625" style="180" customWidth="1"/>
    <col min="6666" max="6669" width="10.42578125" style="180" bestFit="1" customWidth="1"/>
    <col min="6670" max="6670" width="15.140625" style="180" customWidth="1"/>
    <col min="6671" max="6671" width="14.140625" style="180" customWidth="1"/>
    <col min="6672" max="6912" width="9.140625" style="180"/>
    <col min="6913" max="6913" width="6.28515625" style="180" customWidth="1"/>
    <col min="6914" max="6914" width="32.7109375" style="180" customWidth="1"/>
    <col min="6915" max="6915" width="15.42578125" style="180" customWidth="1"/>
    <col min="6916" max="6917" width="15.28515625" style="180" customWidth="1"/>
    <col min="6918" max="6918" width="15.140625" style="180" customWidth="1"/>
    <col min="6919" max="6920" width="11.85546875" style="180" customWidth="1"/>
    <col min="6921" max="6921" width="12.28515625" style="180" customWidth="1"/>
    <col min="6922" max="6925" width="10.42578125" style="180" bestFit="1" customWidth="1"/>
    <col min="6926" max="6926" width="15.140625" style="180" customWidth="1"/>
    <col min="6927" max="6927" width="14.140625" style="180" customWidth="1"/>
    <col min="6928" max="7168" width="9.140625" style="180"/>
    <col min="7169" max="7169" width="6.28515625" style="180" customWidth="1"/>
    <col min="7170" max="7170" width="32.7109375" style="180" customWidth="1"/>
    <col min="7171" max="7171" width="15.42578125" style="180" customWidth="1"/>
    <col min="7172" max="7173" width="15.28515625" style="180" customWidth="1"/>
    <col min="7174" max="7174" width="15.140625" style="180" customWidth="1"/>
    <col min="7175" max="7176" width="11.85546875" style="180" customWidth="1"/>
    <col min="7177" max="7177" width="12.28515625" style="180" customWidth="1"/>
    <col min="7178" max="7181" width="10.42578125" style="180" bestFit="1" customWidth="1"/>
    <col min="7182" max="7182" width="15.140625" style="180" customWidth="1"/>
    <col min="7183" max="7183" width="14.140625" style="180" customWidth="1"/>
    <col min="7184" max="7424" width="9.140625" style="180"/>
    <col min="7425" max="7425" width="6.28515625" style="180" customWidth="1"/>
    <col min="7426" max="7426" width="32.7109375" style="180" customWidth="1"/>
    <col min="7427" max="7427" width="15.42578125" style="180" customWidth="1"/>
    <col min="7428" max="7429" width="15.28515625" style="180" customWidth="1"/>
    <col min="7430" max="7430" width="15.140625" style="180" customWidth="1"/>
    <col min="7431" max="7432" width="11.85546875" style="180" customWidth="1"/>
    <col min="7433" max="7433" width="12.28515625" style="180" customWidth="1"/>
    <col min="7434" max="7437" width="10.42578125" style="180" bestFit="1" customWidth="1"/>
    <col min="7438" max="7438" width="15.140625" style="180" customWidth="1"/>
    <col min="7439" max="7439" width="14.140625" style="180" customWidth="1"/>
    <col min="7440" max="7680" width="9.140625" style="180"/>
    <col min="7681" max="7681" width="6.28515625" style="180" customWidth="1"/>
    <col min="7682" max="7682" width="32.7109375" style="180" customWidth="1"/>
    <col min="7683" max="7683" width="15.42578125" style="180" customWidth="1"/>
    <col min="7684" max="7685" width="15.28515625" style="180" customWidth="1"/>
    <col min="7686" max="7686" width="15.140625" style="180" customWidth="1"/>
    <col min="7687" max="7688" width="11.85546875" style="180" customWidth="1"/>
    <col min="7689" max="7689" width="12.28515625" style="180" customWidth="1"/>
    <col min="7690" max="7693" width="10.42578125" style="180" bestFit="1" customWidth="1"/>
    <col min="7694" max="7694" width="15.140625" style="180" customWidth="1"/>
    <col min="7695" max="7695" width="14.140625" style="180" customWidth="1"/>
    <col min="7696" max="7936" width="9.140625" style="180"/>
    <col min="7937" max="7937" width="6.28515625" style="180" customWidth="1"/>
    <col min="7938" max="7938" width="32.7109375" style="180" customWidth="1"/>
    <col min="7939" max="7939" width="15.42578125" style="180" customWidth="1"/>
    <col min="7940" max="7941" width="15.28515625" style="180" customWidth="1"/>
    <col min="7942" max="7942" width="15.140625" style="180" customWidth="1"/>
    <col min="7943" max="7944" width="11.85546875" style="180" customWidth="1"/>
    <col min="7945" max="7945" width="12.28515625" style="180" customWidth="1"/>
    <col min="7946" max="7949" width="10.42578125" style="180" bestFit="1" customWidth="1"/>
    <col min="7950" max="7950" width="15.140625" style="180" customWidth="1"/>
    <col min="7951" max="7951" width="14.140625" style="180" customWidth="1"/>
    <col min="7952" max="8192" width="9.140625" style="180"/>
    <col min="8193" max="8193" width="6.28515625" style="180" customWidth="1"/>
    <col min="8194" max="8194" width="32.7109375" style="180" customWidth="1"/>
    <col min="8195" max="8195" width="15.42578125" style="180" customWidth="1"/>
    <col min="8196" max="8197" width="15.28515625" style="180" customWidth="1"/>
    <col min="8198" max="8198" width="15.140625" style="180" customWidth="1"/>
    <col min="8199" max="8200" width="11.85546875" style="180" customWidth="1"/>
    <col min="8201" max="8201" width="12.28515625" style="180" customWidth="1"/>
    <col min="8202" max="8205" width="10.42578125" style="180" bestFit="1" customWidth="1"/>
    <col min="8206" max="8206" width="15.140625" style="180" customWidth="1"/>
    <col min="8207" max="8207" width="14.140625" style="180" customWidth="1"/>
    <col min="8208" max="8448" width="9.140625" style="180"/>
    <col min="8449" max="8449" width="6.28515625" style="180" customWidth="1"/>
    <col min="8450" max="8450" width="32.7109375" style="180" customWidth="1"/>
    <col min="8451" max="8451" width="15.42578125" style="180" customWidth="1"/>
    <col min="8452" max="8453" width="15.28515625" style="180" customWidth="1"/>
    <col min="8454" max="8454" width="15.140625" style="180" customWidth="1"/>
    <col min="8455" max="8456" width="11.85546875" style="180" customWidth="1"/>
    <col min="8457" max="8457" width="12.28515625" style="180" customWidth="1"/>
    <col min="8458" max="8461" width="10.42578125" style="180" bestFit="1" customWidth="1"/>
    <col min="8462" max="8462" width="15.140625" style="180" customWidth="1"/>
    <col min="8463" max="8463" width="14.140625" style="180" customWidth="1"/>
    <col min="8464" max="8704" width="9.140625" style="180"/>
    <col min="8705" max="8705" width="6.28515625" style="180" customWidth="1"/>
    <col min="8706" max="8706" width="32.7109375" style="180" customWidth="1"/>
    <col min="8707" max="8707" width="15.42578125" style="180" customWidth="1"/>
    <col min="8708" max="8709" width="15.28515625" style="180" customWidth="1"/>
    <col min="8710" max="8710" width="15.140625" style="180" customWidth="1"/>
    <col min="8711" max="8712" width="11.85546875" style="180" customWidth="1"/>
    <col min="8713" max="8713" width="12.28515625" style="180" customWidth="1"/>
    <col min="8714" max="8717" width="10.42578125" style="180" bestFit="1" customWidth="1"/>
    <col min="8718" max="8718" width="15.140625" style="180" customWidth="1"/>
    <col min="8719" max="8719" width="14.140625" style="180" customWidth="1"/>
    <col min="8720" max="8960" width="9.140625" style="180"/>
    <col min="8961" max="8961" width="6.28515625" style="180" customWidth="1"/>
    <col min="8962" max="8962" width="32.7109375" style="180" customWidth="1"/>
    <col min="8963" max="8963" width="15.42578125" style="180" customWidth="1"/>
    <col min="8964" max="8965" width="15.28515625" style="180" customWidth="1"/>
    <col min="8966" max="8966" width="15.140625" style="180" customWidth="1"/>
    <col min="8967" max="8968" width="11.85546875" style="180" customWidth="1"/>
    <col min="8969" max="8969" width="12.28515625" style="180" customWidth="1"/>
    <col min="8970" max="8973" width="10.42578125" style="180" bestFit="1" customWidth="1"/>
    <col min="8974" max="8974" width="15.140625" style="180" customWidth="1"/>
    <col min="8975" max="8975" width="14.140625" style="180" customWidth="1"/>
    <col min="8976" max="9216" width="9.140625" style="180"/>
    <col min="9217" max="9217" width="6.28515625" style="180" customWidth="1"/>
    <col min="9218" max="9218" width="32.7109375" style="180" customWidth="1"/>
    <col min="9219" max="9219" width="15.42578125" style="180" customWidth="1"/>
    <col min="9220" max="9221" width="15.28515625" style="180" customWidth="1"/>
    <col min="9222" max="9222" width="15.140625" style="180" customWidth="1"/>
    <col min="9223" max="9224" width="11.85546875" style="180" customWidth="1"/>
    <col min="9225" max="9225" width="12.28515625" style="180" customWidth="1"/>
    <col min="9226" max="9229" width="10.42578125" style="180" bestFit="1" customWidth="1"/>
    <col min="9230" max="9230" width="15.140625" style="180" customWidth="1"/>
    <col min="9231" max="9231" width="14.140625" style="180" customWidth="1"/>
    <col min="9232" max="9472" width="9.140625" style="180"/>
    <col min="9473" max="9473" width="6.28515625" style="180" customWidth="1"/>
    <col min="9474" max="9474" width="32.7109375" style="180" customWidth="1"/>
    <col min="9475" max="9475" width="15.42578125" style="180" customWidth="1"/>
    <col min="9476" max="9477" width="15.28515625" style="180" customWidth="1"/>
    <col min="9478" max="9478" width="15.140625" style="180" customWidth="1"/>
    <col min="9479" max="9480" width="11.85546875" style="180" customWidth="1"/>
    <col min="9481" max="9481" width="12.28515625" style="180" customWidth="1"/>
    <col min="9482" max="9485" width="10.42578125" style="180" bestFit="1" customWidth="1"/>
    <col min="9486" max="9486" width="15.140625" style="180" customWidth="1"/>
    <col min="9487" max="9487" width="14.140625" style="180" customWidth="1"/>
    <col min="9488" max="9728" width="9.140625" style="180"/>
    <col min="9729" max="9729" width="6.28515625" style="180" customWidth="1"/>
    <col min="9730" max="9730" width="32.7109375" style="180" customWidth="1"/>
    <col min="9731" max="9731" width="15.42578125" style="180" customWidth="1"/>
    <col min="9732" max="9733" width="15.28515625" style="180" customWidth="1"/>
    <col min="9734" max="9734" width="15.140625" style="180" customWidth="1"/>
    <col min="9735" max="9736" width="11.85546875" style="180" customWidth="1"/>
    <col min="9737" max="9737" width="12.28515625" style="180" customWidth="1"/>
    <col min="9738" max="9741" width="10.42578125" style="180" bestFit="1" customWidth="1"/>
    <col min="9742" max="9742" width="15.140625" style="180" customWidth="1"/>
    <col min="9743" max="9743" width="14.140625" style="180" customWidth="1"/>
    <col min="9744" max="9984" width="9.140625" style="180"/>
    <col min="9985" max="9985" width="6.28515625" style="180" customWidth="1"/>
    <col min="9986" max="9986" width="32.7109375" style="180" customWidth="1"/>
    <col min="9987" max="9987" width="15.42578125" style="180" customWidth="1"/>
    <col min="9988" max="9989" width="15.28515625" style="180" customWidth="1"/>
    <col min="9990" max="9990" width="15.140625" style="180" customWidth="1"/>
    <col min="9991" max="9992" width="11.85546875" style="180" customWidth="1"/>
    <col min="9993" max="9993" width="12.28515625" style="180" customWidth="1"/>
    <col min="9994" max="9997" width="10.42578125" style="180" bestFit="1" customWidth="1"/>
    <col min="9998" max="9998" width="15.140625" style="180" customWidth="1"/>
    <col min="9999" max="9999" width="14.140625" style="180" customWidth="1"/>
    <col min="10000" max="10240" width="9.140625" style="180"/>
    <col min="10241" max="10241" width="6.28515625" style="180" customWidth="1"/>
    <col min="10242" max="10242" width="32.7109375" style="180" customWidth="1"/>
    <col min="10243" max="10243" width="15.42578125" style="180" customWidth="1"/>
    <col min="10244" max="10245" width="15.28515625" style="180" customWidth="1"/>
    <col min="10246" max="10246" width="15.140625" style="180" customWidth="1"/>
    <col min="10247" max="10248" width="11.85546875" style="180" customWidth="1"/>
    <col min="10249" max="10249" width="12.28515625" style="180" customWidth="1"/>
    <col min="10250" max="10253" width="10.42578125" style="180" bestFit="1" customWidth="1"/>
    <col min="10254" max="10254" width="15.140625" style="180" customWidth="1"/>
    <col min="10255" max="10255" width="14.140625" style="180" customWidth="1"/>
    <col min="10256" max="10496" width="9.140625" style="180"/>
    <col min="10497" max="10497" width="6.28515625" style="180" customWidth="1"/>
    <col min="10498" max="10498" width="32.7109375" style="180" customWidth="1"/>
    <col min="10499" max="10499" width="15.42578125" style="180" customWidth="1"/>
    <col min="10500" max="10501" width="15.28515625" style="180" customWidth="1"/>
    <col min="10502" max="10502" width="15.140625" style="180" customWidth="1"/>
    <col min="10503" max="10504" width="11.85546875" style="180" customWidth="1"/>
    <col min="10505" max="10505" width="12.28515625" style="180" customWidth="1"/>
    <col min="10506" max="10509" width="10.42578125" style="180" bestFit="1" customWidth="1"/>
    <col min="10510" max="10510" width="15.140625" style="180" customWidth="1"/>
    <col min="10511" max="10511" width="14.140625" style="180" customWidth="1"/>
    <col min="10512" max="10752" width="9.140625" style="180"/>
    <col min="10753" max="10753" width="6.28515625" style="180" customWidth="1"/>
    <col min="10754" max="10754" width="32.7109375" style="180" customWidth="1"/>
    <col min="10755" max="10755" width="15.42578125" style="180" customWidth="1"/>
    <col min="10756" max="10757" width="15.28515625" style="180" customWidth="1"/>
    <col min="10758" max="10758" width="15.140625" style="180" customWidth="1"/>
    <col min="10759" max="10760" width="11.85546875" style="180" customWidth="1"/>
    <col min="10761" max="10761" width="12.28515625" style="180" customWidth="1"/>
    <col min="10762" max="10765" width="10.42578125" style="180" bestFit="1" customWidth="1"/>
    <col min="10766" max="10766" width="15.140625" style="180" customWidth="1"/>
    <col min="10767" max="10767" width="14.140625" style="180" customWidth="1"/>
    <col min="10768" max="11008" width="9.140625" style="180"/>
    <col min="11009" max="11009" width="6.28515625" style="180" customWidth="1"/>
    <col min="11010" max="11010" width="32.7109375" style="180" customWidth="1"/>
    <col min="11011" max="11011" width="15.42578125" style="180" customWidth="1"/>
    <col min="11012" max="11013" width="15.28515625" style="180" customWidth="1"/>
    <col min="11014" max="11014" width="15.140625" style="180" customWidth="1"/>
    <col min="11015" max="11016" width="11.85546875" style="180" customWidth="1"/>
    <col min="11017" max="11017" width="12.28515625" style="180" customWidth="1"/>
    <col min="11018" max="11021" width="10.42578125" style="180" bestFit="1" customWidth="1"/>
    <col min="11022" max="11022" width="15.140625" style="180" customWidth="1"/>
    <col min="11023" max="11023" width="14.140625" style="180" customWidth="1"/>
    <col min="11024" max="11264" width="9.140625" style="180"/>
    <col min="11265" max="11265" width="6.28515625" style="180" customWidth="1"/>
    <col min="11266" max="11266" width="32.7109375" style="180" customWidth="1"/>
    <col min="11267" max="11267" width="15.42578125" style="180" customWidth="1"/>
    <col min="11268" max="11269" width="15.28515625" style="180" customWidth="1"/>
    <col min="11270" max="11270" width="15.140625" style="180" customWidth="1"/>
    <col min="11271" max="11272" width="11.85546875" style="180" customWidth="1"/>
    <col min="11273" max="11273" width="12.28515625" style="180" customWidth="1"/>
    <col min="11274" max="11277" width="10.42578125" style="180" bestFit="1" customWidth="1"/>
    <col min="11278" max="11278" width="15.140625" style="180" customWidth="1"/>
    <col min="11279" max="11279" width="14.140625" style="180" customWidth="1"/>
    <col min="11280" max="11520" width="9.140625" style="180"/>
    <col min="11521" max="11521" width="6.28515625" style="180" customWidth="1"/>
    <col min="11522" max="11522" width="32.7109375" style="180" customWidth="1"/>
    <col min="11523" max="11523" width="15.42578125" style="180" customWidth="1"/>
    <col min="11524" max="11525" width="15.28515625" style="180" customWidth="1"/>
    <col min="11526" max="11526" width="15.140625" style="180" customWidth="1"/>
    <col min="11527" max="11528" width="11.85546875" style="180" customWidth="1"/>
    <col min="11529" max="11529" width="12.28515625" style="180" customWidth="1"/>
    <col min="11530" max="11533" width="10.42578125" style="180" bestFit="1" customWidth="1"/>
    <col min="11534" max="11534" width="15.140625" style="180" customWidth="1"/>
    <col min="11535" max="11535" width="14.140625" style="180" customWidth="1"/>
    <col min="11536" max="11776" width="9.140625" style="180"/>
    <col min="11777" max="11777" width="6.28515625" style="180" customWidth="1"/>
    <col min="11778" max="11778" width="32.7109375" style="180" customWidth="1"/>
    <col min="11779" max="11779" width="15.42578125" style="180" customWidth="1"/>
    <col min="11780" max="11781" width="15.28515625" style="180" customWidth="1"/>
    <col min="11782" max="11782" width="15.140625" style="180" customWidth="1"/>
    <col min="11783" max="11784" width="11.85546875" style="180" customWidth="1"/>
    <col min="11785" max="11785" width="12.28515625" style="180" customWidth="1"/>
    <col min="11786" max="11789" width="10.42578125" style="180" bestFit="1" customWidth="1"/>
    <col min="11790" max="11790" width="15.140625" style="180" customWidth="1"/>
    <col min="11791" max="11791" width="14.140625" style="180" customWidth="1"/>
    <col min="11792" max="12032" width="9.140625" style="180"/>
    <col min="12033" max="12033" width="6.28515625" style="180" customWidth="1"/>
    <col min="12034" max="12034" width="32.7109375" style="180" customWidth="1"/>
    <col min="12035" max="12035" width="15.42578125" style="180" customWidth="1"/>
    <col min="12036" max="12037" width="15.28515625" style="180" customWidth="1"/>
    <col min="12038" max="12038" width="15.140625" style="180" customWidth="1"/>
    <col min="12039" max="12040" width="11.85546875" style="180" customWidth="1"/>
    <col min="12041" max="12041" width="12.28515625" style="180" customWidth="1"/>
    <col min="12042" max="12045" width="10.42578125" style="180" bestFit="1" customWidth="1"/>
    <col min="12046" max="12046" width="15.140625" style="180" customWidth="1"/>
    <col min="12047" max="12047" width="14.140625" style="180" customWidth="1"/>
    <col min="12048" max="12288" width="9.140625" style="180"/>
    <col min="12289" max="12289" width="6.28515625" style="180" customWidth="1"/>
    <col min="12290" max="12290" width="32.7109375" style="180" customWidth="1"/>
    <col min="12291" max="12291" width="15.42578125" style="180" customWidth="1"/>
    <col min="12292" max="12293" width="15.28515625" style="180" customWidth="1"/>
    <col min="12294" max="12294" width="15.140625" style="180" customWidth="1"/>
    <col min="12295" max="12296" width="11.85546875" style="180" customWidth="1"/>
    <col min="12297" max="12297" width="12.28515625" style="180" customWidth="1"/>
    <col min="12298" max="12301" width="10.42578125" style="180" bestFit="1" customWidth="1"/>
    <col min="12302" max="12302" width="15.140625" style="180" customWidth="1"/>
    <col min="12303" max="12303" width="14.140625" style="180" customWidth="1"/>
    <col min="12304" max="12544" width="9.140625" style="180"/>
    <col min="12545" max="12545" width="6.28515625" style="180" customWidth="1"/>
    <col min="12546" max="12546" width="32.7109375" style="180" customWidth="1"/>
    <col min="12547" max="12547" width="15.42578125" style="180" customWidth="1"/>
    <col min="12548" max="12549" width="15.28515625" style="180" customWidth="1"/>
    <col min="12550" max="12550" width="15.140625" style="180" customWidth="1"/>
    <col min="12551" max="12552" width="11.85546875" style="180" customWidth="1"/>
    <col min="12553" max="12553" width="12.28515625" style="180" customWidth="1"/>
    <col min="12554" max="12557" width="10.42578125" style="180" bestFit="1" customWidth="1"/>
    <col min="12558" max="12558" width="15.140625" style="180" customWidth="1"/>
    <col min="12559" max="12559" width="14.140625" style="180" customWidth="1"/>
    <col min="12560" max="12800" width="9.140625" style="180"/>
    <col min="12801" max="12801" width="6.28515625" style="180" customWidth="1"/>
    <col min="12802" max="12802" width="32.7109375" style="180" customWidth="1"/>
    <col min="12803" max="12803" width="15.42578125" style="180" customWidth="1"/>
    <col min="12804" max="12805" width="15.28515625" style="180" customWidth="1"/>
    <col min="12806" max="12806" width="15.140625" style="180" customWidth="1"/>
    <col min="12807" max="12808" width="11.85546875" style="180" customWidth="1"/>
    <col min="12809" max="12809" width="12.28515625" style="180" customWidth="1"/>
    <col min="12810" max="12813" width="10.42578125" style="180" bestFit="1" customWidth="1"/>
    <col min="12814" max="12814" width="15.140625" style="180" customWidth="1"/>
    <col min="12815" max="12815" width="14.140625" style="180" customWidth="1"/>
    <col min="12816" max="13056" width="9.140625" style="180"/>
    <col min="13057" max="13057" width="6.28515625" style="180" customWidth="1"/>
    <col min="13058" max="13058" width="32.7109375" style="180" customWidth="1"/>
    <col min="13059" max="13059" width="15.42578125" style="180" customWidth="1"/>
    <col min="13060" max="13061" width="15.28515625" style="180" customWidth="1"/>
    <col min="13062" max="13062" width="15.140625" style="180" customWidth="1"/>
    <col min="13063" max="13064" width="11.85546875" style="180" customWidth="1"/>
    <col min="13065" max="13065" width="12.28515625" style="180" customWidth="1"/>
    <col min="13066" max="13069" width="10.42578125" style="180" bestFit="1" customWidth="1"/>
    <col min="13070" max="13070" width="15.140625" style="180" customWidth="1"/>
    <col min="13071" max="13071" width="14.140625" style="180" customWidth="1"/>
    <col min="13072" max="13312" width="9.140625" style="180"/>
    <col min="13313" max="13313" width="6.28515625" style="180" customWidth="1"/>
    <col min="13314" max="13314" width="32.7109375" style="180" customWidth="1"/>
    <col min="13315" max="13315" width="15.42578125" style="180" customWidth="1"/>
    <col min="13316" max="13317" width="15.28515625" style="180" customWidth="1"/>
    <col min="13318" max="13318" width="15.140625" style="180" customWidth="1"/>
    <col min="13319" max="13320" width="11.85546875" style="180" customWidth="1"/>
    <col min="13321" max="13321" width="12.28515625" style="180" customWidth="1"/>
    <col min="13322" max="13325" width="10.42578125" style="180" bestFit="1" customWidth="1"/>
    <col min="13326" max="13326" width="15.140625" style="180" customWidth="1"/>
    <col min="13327" max="13327" width="14.140625" style="180" customWidth="1"/>
    <col min="13328" max="13568" width="9.140625" style="180"/>
    <col min="13569" max="13569" width="6.28515625" style="180" customWidth="1"/>
    <col min="13570" max="13570" width="32.7109375" style="180" customWidth="1"/>
    <col min="13571" max="13571" width="15.42578125" style="180" customWidth="1"/>
    <col min="13572" max="13573" width="15.28515625" style="180" customWidth="1"/>
    <col min="13574" max="13574" width="15.140625" style="180" customWidth="1"/>
    <col min="13575" max="13576" width="11.85546875" style="180" customWidth="1"/>
    <col min="13577" max="13577" width="12.28515625" style="180" customWidth="1"/>
    <col min="13578" max="13581" width="10.42578125" style="180" bestFit="1" customWidth="1"/>
    <col min="13582" max="13582" width="15.140625" style="180" customWidth="1"/>
    <col min="13583" max="13583" width="14.140625" style="180" customWidth="1"/>
    <col min="13584" max="13824" width="9.140625" style="180"/>
    <col min="13825" max="13825" width="6.28515625" style="180" customWidth="1"/>
    <col min="13826" max="13826" width="32.7109375" style="180" customWidth="1"/>
    <col min="13827" max="13827" width="15.42578125" style="180" customWidth="1"/>
    <col min="13828" max="13829" width="15.28515625" style="180" customWidth="1"/>
    <col min="13830" max="13830" width="15.140625" style="180" customWidth="1"/>
    <col min="13831" max="13832" width="11.85546875" style="180" customWidth="1"/>
    <col min="13833" max="13833" width="12.28515625" style="180" customWidth="1"/>
    <col min="13834" max="13837" width="10.42578125" style="180" bestFit="1" customWidth="1"/>
    <col min="13838" max="13838" width="15.140625" style="180" customWidth="1"/>
    <col min="13839" max="13839" width="14.140625" style="180" customWidth="1"/>
    <col min="13840" max="14080" width="9.140625" style="180"/>
    <col min="14081" max="14081" width="6.28515625" style="180" customWidth="1"/>
    <col min="14082" max="14082" width="32.7109375" style="180" customWidth="1"/>
    <col min="14083" max="14083" width="15.42578125" style="180" customWidth="1"/>
    <col min="14084" max="14085" width="15.28515625" style="180" customWidth="1"/>
    <col min="14086" max="14086" width="15.140625" style="180" customWidth="1"/>
    <col min="14087" max="14088" width="11.85546875" style="180" customWidth="1"/>
    <col min="14089" max="14089" width="12.28515625" style="180" customWidth="1"/>
    <col min="14090" max="14093" width="10.42578125" style="180" bestFit="1" customWidth="1"/>
    <col min="14094" max="14094" width="15.140625" style="180" customWidth="1"/>
    <col min="14095" max="14095" width="14.140625" style="180" customWidth="1"/>
    <col min="14096" max="14336" width="9.140625" style="180"/>
    <col min="14337" max="14337" width="6.28515625" style="180" customWidth="1"/>
    <col min="14338" max="14338" width="32.7109375" style="180" customWidth="1"/>
    <col min="14339" max="14339" width="15.42578125" style="180" customWidth="1"/>
    <col min="14340" max="14341" width="15.28515625" style="180" customWidth="1"/>
    <col min="14342" max="14342" width="15.140625" style="180" customWidth="1"/>
    <col min="14343" max="14344" width="11.85546875" style="180" customWidth="1"/>
    <col min="14345" max="14345" width="12.28515625" style="180" customWidth="1"/>
    <col min="14346" max="14349" width="10.42578125" style="180" bestFit="1" customWidth="1"/>
    <col min="14350" max="14350" width="15.140625" style="180" customWidth="1"/>
    <col min="14351" max="14351" width="14.140625" style="180" customWidth="1"/>
    <col min="14352" max="14592" width="9.140625" style="180"/>
    <col min="14593" max="14593" width="6.28515625" style="180" customWidth="1"/>
    <col min="14594" max="14594" width="32.7109375" style="180" customWidth="1"/>
    <col min="14595" max="14595" width="15.42578125" style="180" customWidth="1"/>
    <col min="14596" max="14597" width="15.28515625" style="180" customWidth="1"/>
    <col min="14598" max="14598" width="15.140625" style="180" customWidth="1"/>
    <col min="14599" max="14600" width="11.85546875" style="180" customWidth="1"/>
    <col min="14601" max="14601" width="12.28515625" style="180" customWidth="1"/>
    <col min="14602" max="14605" width="10.42578125" style="180" bestFit="1" customWidth="1"/>
    <col min="14606" max="14606" width="15.140625" style="180" customWidth="1"/>
    <col min="14607" max="14607" width="14.140625" style="180" customWidth="1"/>
    <col min="14608" max="14848" width="9.140625" style="180"/>
    <col min="14849" max="14849" width="6.28515625" style="180" customWidth="1"/>
    <col min="14850" max="14850" width="32.7109375" style="180" customWidth="1"/>
    <col min="14851" max="14851" width="15.42578125" style="180" customWidth="1"/>
    <col min="14852" max="14853" width="15.28515625" style="180" customWidth="1"/>
    <col min="14854" max="14854" width="15.140625" style="180" customWidth="1"/>
    <col min="14855" max="14856" width="11.85546875" style="180" customWidth="1"/>
    <col min="14857" max="14857" width="12.28515625" style="180" customWidth="1"/>
    <col min="14858" max="14861" width="10.42578125" style="180" bestFit="1" customWidth="1"/>
    <col min="14862" max="14862" width="15.140625" style="180" customWidth="1"/>
    <col min="14863" max="14863" width="14.140625" style="180" customWidth="1"/>
    <col min="14864" max="15104" width="9.140625" style="180"/>
    <col min="15105" max="15105" width="6.28515625" style="180" customWidth="1"/>
    <col min="15106" max="15106" width="32.7109375" style="180" customWidth="1"/>
    <col min="15107" max="15107" width="15.42578125" style="180" customWidth="1"/>
    <col min="15108" max="15109" width="15.28515625" style="180" customWidth="1"/>
    <col min="15110" max="15110" width="15.140625" style="180" customWidth="1"/>
    <col min="15111" max="15112" width="11.85546875" style="180" customWidth="1"/>
    <col min="15113" max="15113" width="12.28515625" style="180" customWidth="1"/>
    <col min="15114" max="15117" width="10.42578125" style="180" bestFit="1" customWidth="1"/>
    <col min="15118" max="15118" width="15.140625" style="180" customWidth="1"/>
    <col min="15119" max="15119" width="14.140625" style="180" customWidth="1"/>
    <col min="15120" max="15360" width="9.140625" style="180"/>
    <col min="15361" max="15361" width="6.28515625" style="180" customWidth="1"/>
    <col min="15362" max="15362" width="32.7109375" style="180" customWidth="1"/>
    <col min="15363" max="15363" width="15.42578125" style="180" customWidth="1"/>
    <col min="15364" max="15365" width="15.28515625" style="180" customWidth="1"/>
    <col min="15366" max="15366" width="15.140625" style="180" customWidth="1"/>
    <col min="15367" max="15368" width="11.85546875" style="180" customWidth="1"/>
    <col min="15369" max="15369" width="12.28515625" style="180" customWidth="1"/>
    <col min="15370" max="15373" width="10.42578125" style="180" bestFit="1" customWidth="1"/>
    <col min="15374" max="15374" width="15.140625" style="180" customWidth="1"/>
    <col min="15375" max="15375" width="14.140625" style="180" customWidth="1"/>
    <col min="15376" max="15616" width="9.140625" style="180"/>
    <col min="15617" max="15617" width="6.28515625" style="180" customWidth="1"/>
    <col min="15618" max="15618" width="32.7109375" style="180" customWidth="1"/>
    <col min="15619" max="15619" width="15.42578125" style="180" customWidth="1"/>
    <col min="15620" max="15621" width="15.28515625" style="180" customWidth="1"/>
    <col min="15622" max="15622" width="15.140625" style="180" customWidth="1"/>
    <col min="15623" max="15624" width="11.85546875" style="180" customWidth="1"/>
    <col min="15625" max="15625" width="12.28515625" style="180" customWidth="1"/>
    <col min="15626" max="15629" width="10.42578125" style="180" bestFit="1" customWidth="1"/>
    <col min="15630" max="15630" width="15.140625" style="180" customWidth="1"/>
    <col min="15631" max="15631" width="14.140625" style="180" customWidth="1"/>
    <col min="15632" max="15872" width="9.140625" style="180"/>
    <col min="15873" max="15873" width="6.28515625" style="180" customWidth="1"/>
    <col min="15874" max="15874" width="32.7109375" style="180" customWidth="1"/>
    <col min="15875" max="15875" width="15.42578125" style="180" customWidth="1"/>
    <col min="15876" max="15877" width="15.28515625" style="180" customWidth="1"/>
    <col min="15878" max="15878" width="15.140625" style="180" customWidth="1"/>
    <col min="15879" max="15880" width="11.85546875" style="180" customWidth="1"/>
    <col min="15881" max="15881" width="12.28515625" style="180" customWidth="1"/>
    <col min="15882" max="15885" width="10.42578125" style="180" bestFit="1" customWidth="1"/>
    <col min="15886" max="15886" width="15.140625" style="180" customWidth="1"/>
    <col min="15887" max="15887" width="14.140625" style="180" customWidth="1"/>
    <col min="15888" max="16128" width="9.140625" style="180"/>
    <col min="16129" max="16129" width="6.28515625" style="180" customWidth="1"/>
    <col min="16130" max="16130" width="32.7109375" style="180" customWidth="1"/>
    <col min="16131" max="16131" width="15.42578125" style="180" customWidth="1"/>
    <col min="16132" max="16133" width="15.28515625" style="180" customWidth="1"/>
    <col min="16134" max="16134" width="15.140625" style="180" customWidth="1"/>
    <col min="16135" max="16136" width="11.85546875" style="180" customWidth="1"/>
    <col min="16137" max="16137" width="12.28515625" style="180" customWidth="1"/>
    <col min="16138" max="16141" width="10.42578125" style="180" bestFit="1" customWidth="1"/>
    <col min="16142" max="16142" width="15.140625" style="180" customWidth="1"/>
    <col min="16143" max="16143" width="14.140625" style="180" customWidth="1"/>
    <col min="16144" max="16384" width="9.140625" style="180"/>
  </cols>
  <sheetData>
    <row r="1" spans="1:15" s="178" customFormat="1" x14ac:dyDescent="0.25">
      <c r="A1" s="298" t="s">
        <v>291</v>
      </c>
      <c r="B1" s="298"/>
      <c r="M1" s="248" t="s">
        <v>551</v>
      </c>
      <c r="N1" s="248"/>
    </row>
    <row r="2" spans="1:15" s="178" customFormat="1" x14ac:dyDescent="0.25">
      <c r="A2" s="298" t="s">
        <v>1</v>
      </c>
      <c r="B2" s="298"/>
      <c r="E2" s="179"/>
      <c r="F2" s="179"/>
      <c r="G2" s="179"/>
      <c r="H2" s="179"/>
    </row>
    <row r="3" spans="1:15" x14ac:dyDescent="0.25">
      <c r="A3" s="178"/>
      <c r="C3" s="179"/>
      <c r="D3" s="179"/>
      <c r="E3" s="179"/>
      <c r="F3" s="179"/>
      <c r="G3" s="179"/>
      <c r="H3" s="179"/>
    </row>
    <row r="4" spans="1:15" ht="21.75" customHeight="1" x14ac:dyDescent="0.25">
      <c r="A4" s="299" t="s">
        <v>462</v>
      </c>
      <c r="B4" s="299"/>
      <c r="C4" s="299"/>
      <c r="D4" s="299"/>
      <c r="E4" s="299"/>
      <c r="F4" s="299"/>
      <c r="G4" s="299"/>
      <c r="H4" s="299"/>
      <c r="I4" s="299"/>
      <c r="J4" s="299"/>
      <c r="K4" s="299"/>
      <c r="L4" s="299"/>
      <c r="M4" s="299"/>
      <c r="N4" s="299"/>
      <c r="O4" s="299"/>
    </row>
    <row r="5" spans="1:15" ht="21.75" customHeight="1" x14ac:dyDescent="0.25">
      <c r="A5" s="294" t="str">
        <f>'chi ns xa thi'!A5:F5</f>
        <v>(Kèm theo Nghị quyết số            /NQ-HĐND ngày          /12/2022 của HĐND huyện Nghi Xuân)</v>
      </c>
      <c r="B5" s="295"/>
      <c r="C5" s="295"/>
      <c r="D5" s="295"/>
      <c r="E5" s="295"/>
      <c r="F5" s="295"/>
      <c r="G5" s="295"/>
      <c r="H5" s="295"/>
      <c r="I5" s="295"/>
      <c r="J5" s="295"/>
      <c r="K5" s="295"/>
      <c r="L5" s="295"/>
      <c r="M5" s="295"/>
      <c r="N5" s="295"/>
      <c r="O5" s="295"/>
    </row>
    <row r="6" spans="1:15" x14ac:dyDescent="0.25">
      <c r="A6" s="298"/>
      <c r="B6" s="298"/>
      <c r="C6" s="181"/>
      <c r="D6" s="181"/>
      <c r="E6" s="181"/>
      <c r="F6" s="181"/>
      <c r="G6" s="181"/>
      <c r="H6" s="181"/>
    </row>
    <row r="7" spans="1:15" ht="18" customHeight="1" x14ac:dyDescent="0.25">
      <c r="H7" s="182"/>
      <c r="L7" s="216" t="s">
        <v>257</v>
      </c>
      <c r="M7" s="216"/>
    </row>
    <row r="8" spans="1:15" s="178" customFormat="1" ht="21.75" customHeight="1" x14ac:dyDescent="0.25">
      <c r="A8" s="292" t="s">
        <v>2</v>
      </c>
      <c r="B8" s="292" t="s">
        <v>463</v>
      </c>
      <c r="C8" s="292" t="s">
        <v>464</v>
      </c>
      <c r="D8" s="292" t="s">
        <v>465</v>
      </c>
      <c r="E8" s="292"/>
      <c r="F8" s="292"/>
      <c r="G8" s="293" t="s">
        <v>466</v>
      </c>
      <c r="H8" s="293" t="s">
        <v>467</v>
      </c>
      <c r="I8" s="293" t="s">
        <v>468</v>
      </c>
      <c r="J8" s="293" t="s">
        <v>469</v>
      </c>
      <c r="K8" s="293" t="s">
        <v>470</v>
      </c>
      <c r="L8" s="293" t="s">
        <v>471</v>
      </c>
      <c r="M8" s="293" t="s">
        <v>472</v>
      </c>
      <c r="N8" s="292" t="s">
        <v>473</v>
      </c>
      <c r="O8" s="292" t="s">
        <v>474</v>
      </c>
    </row>
    <row r="9" spans="1:15" s="178" customFormat="1" ht="255" customHeight="1" x14ac:dyDescent="0.25">
      <c r="A9" s="293"/>
      <c r="B9" s="293"/>
      <c r="C9" s="293"/>
      <c r="D9" s="183" t="s">
        <v>475</v>
      </c>
      <c r="E9" s="183" t="s">
        <v>476</v>
      </c>
      <c r="F9" s="183" t="s">
        <v>477</v>
      </c>
      <c r="G9" s="296"/>
      <c r="H9" s="297"/>
      <c r="I9" s="296"/>
      <c r="J9" s="296"/>
      <c r="K9" s="296"/>
      <c r="L9" s="296"/>
      <c r="M9" s="296"/>
      <c r="N9" s="293"/>
      <c r="O9" s="293"/>
    </row>
    <row r="10" spans="1:15" s="178" customFormat="1" ht="34.5" customHeight="1" x14ac:dyDescent="0.25">
      <c r="A10" s="184" t="s">
        <v>34</v>
      </c>
      <c r="B10" s="185" t="s">
        <v>478</v>
      </c>
      <c r="C10" s="186">
        <f>'[2]BANG GIAO MN'!J26</f>
        <v>49641713</v>
      </c>
      <c r="D10" s="186">
        <f>'[2]BANG GIAO MN'!K26</f>
        <v>11382179</v>
      </c>
      <c r="E10" s="186">
        <f>'[2]BANG GIAO MN'!L26</f>
        <v>1138219</v>
      </c>
      <c r="F10" s="186">
        <f>D10-E10</f>
        <v>10243960</v>
      </c>
      <c r="G10" s="186">
        <v>0</v>
      </c>
      <c r="H10" s="186"/>
      <c r="I10" s="186">
        <f>'[2]BANG GIAO MN'!R26</f>
        <v>369521</v>
      </c>
      <c r="J10" s="186">
        <f>'[2]BANG GIAO MN'!N26</f>
        <v>252000</v>
      </c>
      <c r="K10" s="186">
        <f>'[2]BANG GIAO MN'!O26</f>
        <v>67635</v>
      </c>
      <c r="L10" s="186">
        <f>'[2]BANG GIAO MN'!P26</f>
        <v>79650</v>
      </c>
      <c r="M10" s="186">
        <f>'[2]BANG GIAO MN'!Q26</f>
        <v>11720</v>
      </c>
      <c r="N10" s="186">
        <f>C10+F10+G10+H10+I10+J10+K10+L10+M10</f>
        <v>60666199</v>
      </c>
      <c r="O10" s="187"/>
    </row>
    <row r="11" spans="1:15" ht="34.5" customHeight="1" x14ac:dyDescent="0.25">
      <c r="A11" s="188" t="s">
        <v>479</v>
      </c>
      <c r="B11" s="185" t="s">
        <v>480</v>
      </c>
      <c r="C11" s="186">
        <f>'[2]BANG GIAO TH'!I27</f>
        <v>61780757</v>
      </c>
      <c r="D11" s="186">
        <f>'[2]BANG GIAO TH'!J27</f>
        <v>13898751</v>
      </c>
      <c r="E11" s="186">
        <f>'[2]BANG GIAO TH'!K27</f>
        <v>1389877</v>
      </c>
      <c r="F11" s="186">
        <f>D11-E11</f>
        <v>12508874</v>
      </c>
      <c r="G11" s="186">
        <f>'[2]BANG GIAO TH'!M27</f>
        <v>1607159</v>
      </c>
      <c r="H11" s="186">
        <f>'[2]BANG GIAO TH'!N27</f>
        <v>377323</v>
      </c>
      <c r="I11" s="186">
        <f>'[2]BANG GIAO TH'!Q27</f>
        <v>1666055</v>
      </c>
      <c r="J11" s="186">
        <v>0</v>
      </c>
      <c r="K11" s="186"/>
      <c r="L11" s="186">
        <f>'[2]BANG GIAO TH'!O27</f>
        <v>191700</v>
      </c>
      <c r="M11" s="186">
        <f>'[2]BANG GIAO TH'!P27</f>
        <v>246120</v>
      </c>
      <c r="N11" s="186">
        <f t="shared" ref="N11:N16" si="0">C11+F11+G11+H11+I11+J11+K11+L11+M11</f>
        <v>78377988</v>
      </c>
      <c r="O11" s="189"/>
    </row>
    <row r="12" spans="1:15" ht="34.5" customHeight="1" x14ac:dyDescent="0.25">
      <c r="A12" s="184" t="s">
        <v>38</v>
      </c>
      <c r="B12" s="185" t="s">
        <v>481</v>
      </c>
      <c r="C12" s="186">
        <f>'[2]GIAO THCS'!M20</f>
        <v>59543721</v>
      </c>
      <c r="D12" s="186">
        <f>'[2]GIAO THCS'!N20</f>
        <v>13607193</v>
      </c>
      <c r="E12" s="186">
        <f>'[2]GIAO THCS'!O20</f>
        <v>1360719</v>
      </c>
      <c r="F12" s="186">
        <f>D12-E12</f>
        <v>12246474</v>
      </c>
      <c r="G12" s="186">
        <f>'[2]GIAO THCS'!S20</f>
        <v>73045</v>
      </c>
      <c r="H12" s="186"/>
      <c r="I12" s="186">
        <f>'[2]GIAO THCS'!U20</f>
        <v>304405</v>
      </c>
      <c r="J12" s="186">
        <v>0</v>
      </c>
      <c r="K12" s="186">
        <f>'[2]GIAO THCS'!Q20</f>
        <v>127935</v>
      </c>
      <c r="L12" s="186">
        <f>'[2]GIAO THCS'!R20</f>
        <v>179550</v>
      </c>
      <c r="M12" s="186">
        <f>'[2]GIAO THCS'!T20</f>
        <v>210960</v>
      </c>
      <c r="N12" s="186">
        <f t="shared" si="0"/>
        <v>72686090</v>
      </c>
      <c r="O12" s="190"/>
    </row>
    <row r="13" spans="1:15" ht="34.5" customHeight="1" x14ac:dyDescent="0.25">
      <c r="A13" s="184" t="s">
        <v>45</v>
      </c>
      <c r="B13" s="185" t="s">
        <v>482</v>
      </c>
      <c r="C13" s="186">
        <f>C14</f>
        <v>0</v>
      </c>
      <c r="D13" s="186">
        <f t="shared" ref="D13:O13" si="1">D14</f>
        <v>1300000</v>
      </c>
      <c r="E13" s="186">
        <f t="shared" si="1"/>
        <v>0</v>
      </c>
      <c r="F13" s="186">
        <f t="shared" si="1"/>
        <v>1300000</v>
      </c>
      <c r="G13" s="186">
        <f t="shared" si="1"/>
        <v>0</v>
      </c>
      <c r="H13" s="186"/>
      <c r="I13" s="186">
        <f t="shared" si="1"/>
        <v>0</v>
      </c>
      <c r="J13" s="186">
        <f t="shared" si="1"/>
        <v>0</v>
      </c>
      <c r="K13" s="186">
        <f t="shared" si="1"/>
        <v>0</v>
      </c>
      <c r="L13" s="186">
        <f t="shared" si="1"/>
        <v>0</v>
      </c>
      <c r="M13" s="186">
        <f t="shared" si="1"/>
        <v>0</v>
      </c>
      <c r="N13" s="186">
        <f t="shared" si="0"/>
        <v>1300000</v>
      </c>
      <c r="O13" s="186">
        <f t="shared" si="1"/>
        <v>0</v>
      </c>
    </row>
    <row r="14" spans="1:15" s="192" customFormat="1" ht="34.5" customHeight="1" x14ac:dyDescent="0.25">
      <c r="A14" s="191">
        <v>1</v>
      </c>
      <c r="B14" s="135" t="s">
        <v>483</v>
      </c>
      <c r="C14" s="190">
        <f>C15+C16</f>
        <v>0</v>
      </c>
      <c r="D14" s="190">
        <f t="shared" ref="D14:M14" si="2">D15+D16</f>
        <v>1300000</v>
      </c>
      <c r="E14" s="190">
        <f t="shared" si="2"/>
        <v>0</v>
      </c>
      <c r="F14" s="186">
        <f t="shared" si="2"/>
        <v>1300000</v>
      </c>
      <c r="G14" s="190">
        <f t="shared" si="2"/>
        <v>0</v>
      </c>
      <c r="H14" s="190"/>
      <c r="I14" s="190">
        <f t="shared" si="2"/>
        <v>0</v>
      </c>
      <c r="J14" s="190">
        <f t="shared" si="2"/>
        <v>0</v>
      </c>
      <c r="K14" s="190">
        <f t="shared" si="2"/>
        <v>0</v>
      </c>
      <c r="L14" s="190">
        <f t="shared" si="2"/>
        <v>0</v>
      </c>
      <c r="M14" s="190">
        <f t="shared" si="2"/>
        <v>0</v>
      </c>
      <c r="N14" s="186">
        <f t="shared" si="0"/>
        <v>1300000</v>
      </c>
      <c r="O14" s="190"/>
    </row>
    <row r="15" spans="1:15" ht="34.5" customHeight="1" x14ac:dyDescent="0.25">
      <c r="A15" s="191" t="s">
        <v>5</v>
      </c>
      <c r="B15" s="135" t="s">
        <v>484</v>
      </c>
      <c r="C15" s="190">
        <v>0</v>
      </c>
      <c r="D15" s="190">
        <v>800000</v>
      </c>
      <c r="E15" s="190"/>
      <c r="F15" s="186">
        <f>C15+D15-E15</f>
        <v>800000</v>
      </c>
      <c r="G15" s="190"/>
      <c r="H15" s="190"/>
      <c r="I15" s="190"/>
      <c r="J15" s="190"/>
      <c r="K15" s="190"/>
      <c r="L15" s="190"/>
      <c r="M15" s="190"/>
      <c r="N15" s="186">
        <f t="shared" si="0"/>
        <v>800000</v>
      </c>
      <c r="O15" s="190"/>
    </row>
    <row r="16" spans="1:15" ht="34.5" customHeight="1" x14ac:dyDescent="0.25">
      <c r="A16" s="191" t="s">
        <v>5</v>
      </c>
      <c r="B16" s="135" t="s">
        <v>485</v>
      </c>
      <c r="C16" s="190">
        <v>0</v>
      </c>
      <c r="D16" s="190">
        <v>500000</v>
      </c>
      <c r="E16" s="190"/>
      <c r="F16" s="186">
        <f>C16+D16-E16</f>
        <v>500000</v>
      </c>
      <c r="G16" s="190"/>
      <c r="H16" s="190"/>
      <c r="I16" s="190"/>
      <c r="J16" s="190"/>
      <c r="K16" s="190"/>
      <c r="L16" s="190"/>
      <c r="M16" s="190"/>
      <c r="N16" s="186">
        <f t="shared" si="0"/>
        <v>500000</v>
      </c>
      <c r="O16" s="190"/>
    </row>
    <row r="17" spans="1:15" ht="34.5" customHeight="1" x14ac:dyDescent="0.25">
      <c r="A17" s="292" t="s">
        <v>486</v>
      </c>
      <c r="B17" s="292"/>
      <c r="C17" s="186">
        <f>C10+C11+C12+C13</f>
        <v>170966191</v>
      </c>
      <c r="D17" s="186">
        <f t="shared" ref="D17:N17" si="3">D10+D11+D12+D13</f>
        <v>40188123</v>
      </c>
      <c r="E17" s="186">
        <f t="shared" si="3"/>
        <v>3888815</v>
      </c>
      <c r="F17" s="186">
        <f t="shared" si="3"/>
        <v>36299308</v>
      </c>
      <c r="G17" s="186">
        <f t="shared" si="3"/>
        <v>1680204</v>
      </c>
      <c r="H17" s="186">
        <f t="shared" si="3"/>
        <v>377323</v>
      </c>
      <c r="I17" s="186">
        <f t="shared" si="3"/>
        <v>2339981</v>
      </c>
      <c r="J17" s="186">
        <f t="shared" si="3"/>
        <v>252000</v>
      </c>
      <c r="K17" s="186">
        <f t="shared" si="3"/>
        <v>195570</v>
      </c>
      <c r="L17" s="186">
        <f t="shared" si="3"/>
        <v>450900</v>
      </c>
      <c r="M17" s="186">
        <f t="shared" si="3"/>
        <v>468800</v>
      </c>
      <c r="N17" s="186">
        <f t="shared" si="3"/>
        <v>213030277</v>
      </c>
      <c r="O17" s="186">
        <f>248509000-7081000+7492000-N17</f>
        <v>35889723</v>
      </c>
    </row>
    <row r="18" spans="1:15" x14ac:dyDescent="0.25">
      <c r="N18" s="193"/>
      <c r="O18" s="193"/>
    </row>
    <row r="19" spans="1:15" x14ac:dyDescent="0.25">
      <c r="C19" s="194"/>
    </row>
  </sheetData>
  <mergeCells count="20">
    <mergeCell ref="A5:O5"/>
    <mergeCell ref="M1:N1"/>
    <mergeCell ref="K8:K9"/>
    <mergeCell ref="L8:L9"/>
    <mergeCell ref="M8:M9"/>
    <mergeCell ref="N8:N9"/>
    <mergeCell ref="O8:O9"/>
    <mergeCell ref="G8:G9"/>
    <mergeCell ref="H8:H9"/>
    <mergeCell ref="I8:I9"/>
    <mergeCell ref="J8:J9"/>
    <mergeCell ref="A1:B1"/>
    <mergeCell ref="A2:B2"/>
    <mergeCell ref="A4:O4"/>
    <mergeCell ref="A6:B6"/>
    <mergeCell ref="A17:B17"/>
    <mergeCell ref="A8:A9"/>
    <mergeCell ref="B8:B9"/>
    <mergeCell ref="C8:C9"/>
    <mergeCell ref="D8:F8"/>
  </mergeCells>
  <pageMargins left="0.47" right="0.19" top="0.55000000000000004" bottom="0.35" header="0.22" footer="0.3"/>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activeCell="A31" sqref="A31:P32"/>
    </sheetView>
  </sheetViews>
  <sheetFormatPr defaultRowHeight="15.75" x14ac:dyDescent="0.25"/>
  <cols>
    <col min="1" max="1" width="4.7109375" style="192" customWidth="1"/>
    <col min="2" max="2" width="38.85546875" style="192" customWidth="1"/>
    <col min="3" max="3" width="14" style="192" customWidth="1"/>
    <col min="4" max="4" width="10.5703125" style="192" customWidth="1"/>
    <col min="5" max="5" width="14.28515625" style="192" customWidth="1"/>
    <col min="6" max="6" width="11" style="192" customWidth="1"/>
    <col min="7" max="7" width="14.28515625" style="192" customWidth="1"/>
    <col min="8" max="8" width="12.42578125" style="192" customWidth="1"/>
    <col min="9" max="11" width="9.7109375" style="192" customWidth="1"/>
    <col min="12" max="12" width="10.85546875" style="192" customWidth="1"/>
    <col min="13" max="13" width="11.42578125" style="192" customWidth="1"/>
    <col min="14" max="14" width="10.140625" style="192" customWidth="1"/>
    <col min="15" max="15" width="12.140625" style="192" customWidth="1"/>
    <col min="16" max="16" width="13.5703125" style="192" customWidth="1"/>
    <col min="17" max="256" width="9.140625" style="192"/>
    <col min="257" max="257" width="4.7109375" style="192" customWidth="1"/>
    <col min="258" max="258" width="38.85546875" style="192" customWidth="1"/>
    <col min="259" max="259" width="14" style="192" customWidth="1"/>
    <col min="260" max="260" width="10.5703125" style="192" customWidth="1"/>
    <col min="261" max="261" width="14.28515625" style="192" customWidth="1"/>
    <col min="262" max="262" width="11" style="192" customWidth="1"/>
    <col min="263" max="263" width="14.28515625" style="192" customWidth="1"/>
    <col min="264" max="264" width="12.42578125" style="192" customWidth="1"/>
    <col min="265" max="267" width="9.7109375" style="192" customWidth="1"/>
    <col min="268" max="268" width="10.85546875" style="192" customWidth="1"/>
    <col min="269" max="270" width="11.42578125" style="192" customWidth="1"/>
    <col min="271" max="271" width="12.140625" style="192" customWidth="1"/>
    <col min="272" max="272" width="15.28515625" style="192" customWidth="1"/>
    <col min="273" max="512" width="9.140625" style="192"/>
    <col min="513" max="513" width="4.7109375" style="192" customWidth="1"/>
    <col min="514" max="514" width="38.85546875" style="192" customWidth="1"/>
    <col min="515" max="515" width="14" style="192" customWidth="1"/>
    <col min="516" max="516" width="10.5703125" style="192" customWidth="1"/>
    <col min="517" max="517" width="14.28515625" style="192" customWidth="1"/>
    <col min="518" max="518" width="11" style="192" customWidth="1"/>
    <col min="519" max="519" width="14.28515625" style="192" customWidth="1"/>
    <col min="520" max="520" width="12.42578125" style="192" customWidth="1"/>
    <col min="521" max="523" width="9.7109375" style="192" customWidth="1"/>
    <col min="524" max="524" width="10.85546875" style="192" customWidth="1"/>
    <col min="525" max="526" width="11.42578125" style="192" customWidth="1"/>
    <col min="527" max="527" width="12.140625" style="192" customWidth="1"/>
    <col min="528" max="528" width="15.28515625" style="192" customWidth="1"/>
    <col min="529" max="768" width="9.140625" style="192"/>
    <col min="769" max="769" width="4.7109375" style="192" customWidth="1"/>
    <col min="770" max="770" width="38.85546875" style="192" customWidth="1"/>
    <col min="771" max="771" width="14" style="192" customWidth="1"/>
    <col min="772" max="772" width="10.5703125" style="192" customWidth="1"/>
    <col min="773" max="773" width="14.28515625" style="192" customWidth="1"/>
    <col min="774" max="774" width="11" style="192" customWidth="1"/>
    <col min="775" max="775" width="14.28515625" style="192" customWidth="1"/>
    <col min="776" max="776" width="12.42578125" style="192" customWidth="1"/>
    <col min="777" max="779" width="9.7109375" style="192" customWidth="1"/>
    <col min="780" max="780" width="10.85546875" style="192" customWidth="1"/>
    <col min="781" max="782" width="11.42578125" style="192" customWidth="1"/>
    <col min="783" max="783" width="12.140625" style="192" customWidth="1"/>
    <col min="784" max="784" width="15.28515625" style="192" customWidth="1"/>
    <col min="785" max="1024" width="9.140625" style="192"/>
    <col min="1025" max="1025" width="4.7109375" style="192" customWidth="1"/>
    <col min="1026" max="1026" width="38.85546875" style="192" customWidth="1"/>
    <col min="1027" max="1027" width="14" style="192" customWidth="1"/>
    <col min="1028" max="1028" width="10.5703125" style="192" customWidth="1"/>
    <col min="1029" max="1029" width="14.28515625" style="192" customWidth="1"/>
    <col min="1030" max="1030" width="11" style="192" customWidth="1"/>
    <col min="1031" max="1031" width="14.28515625" style="192" customWidth="1"/>
    <col min="1032" max="1032" width="12.42578125" style="192" customWidth="1"/>
    <col min="1033" max="1035" width="9.7109375" style="192" customWidth="1"/>
    <col min="1036" max="1036" width="10.85546875" style="192" customWidth="1"/>
    <col min="1037" max="1038" width="11.42578125" style="192" customWidth="1"/>
    <col min="1039" max="1039" width="12.140625" style="192" customWidth="1"/>
    <col min="1040" max="1040" width="15.28515625" style="192" customWidth="1"/>
    <col min="1041" max="1280" width="9.140625" style="192"/>
    <col min="1281" max="1281" width="4.7109375" style="192" customWidth="1"/>
    <col min="1282" max="1282" width="38.85546875" style="192" customWidth="1"/>
    <col min="1283" max="1283" width="14" style="192" customWidth="1"/>
    <col min="1284" max="1284" width="10.5703125" style="192" customWidth="1"/>
    <col min="1285" max="1285" width="14.28515625" style="192" customWidth="1"/>
    <col min="1286" max="1286" width="11" style="192" customWidth="1"/>
    <col min="1287" max="1287" width="14.28515625" style="192" customWidth="1"/>
    <col min="1288" max="1288" width="12.42578125" style="192" customWidth="1"/>
    <col min="1289" max="1291" width="9.7109375" style="192" customWidth="1"/>
    <col min="1292" max="1292" width="10.85546875" style="192" customWidth="1"/>
    <col min="1293" max="1294" width="11.42578125" style="192" customWidth="1"/>
    <col min="1295" max="1295" width="12.140625" style="192" customWidth="1"/>
    <col min="1296" max="1296" width="15.28515625" style="192" customWidth="1"/>
    <col min="1297" max="1536" width="9.140625" style="192"/>
    <col min="1537" max="1537" width="4.7109375" style="192" customWidth="1"/>
    <col min="1538" max="1538" width="38.85546875" style="192" customWidth="1"/>
    <col min="1539" max="1539" width="14" style="192" customWidth="1"/>
    <col min="1540" max="1540" width="10.5703125" style="192" customWidth="1"/>
    <col min="1541" max="1541" width="14.28515625" style="192" customWidth="1"/>
    <col min="1542" max="1542" width="11" style="192" customWidth="1"/>
    <col min="1543" max="1543" width="14.28515625" style="192" customWidth="1"/>
    <col min="1544" max="1544" width="12.42578125" style="192" customWidth="1"/>
    <col min="1545" max="1547" width="9.7109375" style="192" customWidth="1"/>
    <col min="1548" max="1548" width="10.85546875" style="192" customWidth="1"/>
    <col min="1549" max="1550" width="11.42578125" style="192" customWidth="1"/>
    <col min="1551" max="1551" width="12.140625" style="192" customWidth="1"/>
    <col min="1552" max="1552" width="15.28515625" style="192" customWidth="1"/>
    <col min="1553" max="1792" width="9.140625" style="192"/>
    <col min="1793" max="1793" width="4.7109375" style="192" customWidth="1"/>
    <col min="1794" max="1794" width="38.85546875" style="192" customWidth="1"/>
    <col min="1795" max="1795" width="14" style="192" customWidth="1"/>
    <col min="1796" max="1796" width="10.5703125" style="192" customWidth="1"/>
    <col min="1797" max="1797" width="14.28515625" style="192" customWidth="1"/>
    <col min="1798" max="1798" width="11" style="192" customWidth="1"/>
    <col min="1799" max="1799" width="14.28515625" style="192" customWidth="1"/>
    <col min="1800" max="1800" width="12.42578125" style="192" customWidth="1"/>
    <col min="1801" max="1803" width="9.7109375" style="192" customWidth="1"/>
    <col min="1804" max="1804" width="10.85546875" style="192" customWidth="1"/>
    <col min="1805" max="1806" width="11.42578125" style="192" customWidth="1"/>
    <col min="1807" max="1807" width="12.140625" style="192" customWidth="1"/>
    <col min="1808" max="1808" width="15.28515625" style="192" customWidth="1"/>
    <col min="1809" max="2048" width="9.140625" style="192"/>
    <col min="2049" max="2049" width="4.7109375" style="192" customWidth="1"/>
    <col min="2050" max="2050" width="38.85546875" style="192" customWidth="1"/>
    <col min="2051" max="2051" width="14" style="192" customWidth="1"/>
    <col min="2052" max="2052" width="10.5703125" style="192" customWidth="1"/>
    <col min="2053" max="2053" width="14.28515625" style="192" customWidth="1"/>
    <col min="2054" max="2054" width="11" style="192" customWidth="1"/>
    <col min="2055" max="2055" width="14.28515625" style="192" customWidth="1"/>
    <col min="2056" max="2056" width="12.42578125" style="192" customWidth="1"/>
    <col min="2057" max="2059" width="9.7109375" style="192" customWidth="1"/>
    <col min="2060" max="2060" width="10.85546875" style="192" customWidth="1"/>
    <col min="2061" max="2062" width="11.42578125" style="192" customWidth="1"/>
    <col min="2063" max="2063" width="12.140625" style="192" customWidth="1"/>
    <col min="2064" max="2064" width="15.28515625" style="192" customWidth="1"/>
    <col min="2065" max="2304" width="9.140625" style="192"/>
    <col min="2305" max="2305" width="4.7109375" style="192" customWidth="1"/>
    <col min="2306" max="2306" width="38.85546875" style="192" customWidth="1"/>
    <col min="2307" max="2307" width="14" style="192" customWidth="1"/>
    <col min="2308" max="2308" width="10.5703125" style="192" customWidth="1"/>
    <col min="2309" max="2309" width="14.28515625" style="192" customWidth="1"/>
    <col min="2310" max="2310" width="11" style="192" customWidth="1"/>
    <col min="2311" max="2311" width="14.28515625" style="192" customWidth="1"/>
    <col min="2312" max="2312" width="12.42578125" style="192" customWidth="1"/>
    <col min="2313" max="2315" width="9.7109375" style="192" customWidth="1"/>
    <col min="2316" max="2316" width="10.85546875" style="192" customWidth="1"/>
    <col min="2317" max="2318" width="11.42578125" style="192" customWidth="1"/>
    <col min="2319" max="2319" width="12.140625" style="192" customWidth="1"/>
    <col min="2320" max="2320" width="15.28515625" style="192" customWidth="1"/>
    <col min="2321" max="2560" width="9.140625" style="192"/>
    <col min="2561" max="2561" width="4.7109375" style="192" customWidth="1"/>
    <col min="2562" max="2562" width="38.85546875" style="192" customWidth="1"/>
    <col min="2563" max="2563" width="14" style="192" customWidth="1"/>
    <col min="2564" max="2564" width="10.5703125" style="192" customWidth="1"/>
    <col min="2565" max="2565" width="14.28515625" style="192" customWidth="1"/>
    <col min="2566" max="2566" width="11" style="192" customWidth="1"/>
    <col min="2567" max="2567" width="14.28515625" style="192" customWidth="1"/>
    <col min="2568" max="2568" width="12.42578125" style="192" customWidth="1"/>
    <col min="2569" max="2571" width="9.7109375" style="192" customWidth="1"/>
    <col min="2572" max="2572" width="10.85546875" style="192" customWidth="1"/>
    <col min="2573" max="2574" width="11.42578125" style="192" customWidth="1"/>
    <col min="2575" max="2575" width="12.140625" style="192" customWidth="1"/>
    <col min="2576" max="2576" width="15.28515625" style="192" customWidth="1"/>
    <col min="2577" max="2816" width="9.140625" style="192"/>
    <col min="2817" max="2817" width="4.7109375" style="192" customWidth="1"/>
    <col min="2818" max="2818" width="38.85546875" style="192" customWidth="1"/>
    <col min="2819" max="2819" width="14" style="192" customWidth="1"/>
    <col min="2820" max="2820" width="10.5703125" style="192" customWidth="1"/>
    <col min="2821" max="2821" width="14.28515625" style="192" customWidth="1"/>
    <col min="2822" max="2822" width="11" style="192" customWidth="1"/>
    <col min="2823" max="2823" width="14.28515625" style="192" customWidth="1"/>
    <col min="2824" max="2824" width="12.42578125" style="192" customWidth="1"/>
    <col min="2825" max="2827" width="9.7109375" style="192" customWidth="1"/>
    <col min="2828" max="2828" width="10.85546875" style="192" customWidth="1"/>
    <col min="2829" max="2830" width="11.42578125" style="192" customWidth="1"/>
    <col min="2831" max="2831" width="12.140625" style="192" customWidth="1"/>
    <col min="2832" max="2832" width="15.28515625" style="192" customWidth="1"/>
    <col min="2833" max="3072" width="9.140625" style="192"/>
    <col min="3073" max="3073" width="4.7109375" style="192" customWidth="1"/>
    <col min="3074" max="3074" width="38.85546875" style="192" customWidth="1"/>
    <col min="3075" max="3075" width="14" style="192" customWidth="1"/>
    <col min="3076" max="3076" width="10.5703125" style="192" customWidth="1"/>
    <col min="3077" max="3077" width="14.28515625" style="192" customWidth="1"/>
    <col min="3078" max="3078" width="11" style="192" customWidth="1"/>
    <col min="3079" max="3079" width="14.28515625" style="192" customWidth="1"/>
    <col min="3080" max="3080" width="12.42578125" style="192" customWidth="1"/>
    <col min="3081" max="3083" width="9.7109375" style="192" customWidth="1"/>
    <col min="3084" max="3084" width="10.85546875" style="192" customWidth="1"/>
    <col min="3085" max="3086" width="11.42578125" style="192" customWidth="1"/>
    <col min="3087" max="3087" width="12.140625" style="192" customWidth="1"/>
    <col min="3088" max="3088" width="15.28515625" style="192" customWidth="1"/>
    <col min="3089" max="3328" width="9.140625" style="192"/>
    <col min="3329" max="3329" width="4.7109375" style="192" customWidth="1"/>
    <col min="3330" max="3330" width="38.85546875" style="192" customWidth="1"/>
    <col min="3331" max="3331" width="14" style="192" customWidth="1"/>
    <col min="3332" max="3332" width="10.5703125" style="192" customWidth="1"/>
    <col min="3333" max="3333" width="14.28515625" style="192" customWidth="1"/>
    <col min="3334" max="3334" width="11" style="192" customWidth="1"/>
    <col min="3335" max="3335" width="14.28515625" style="192" customWidth="1"/>
    <col min="3336" max="3336" width="12.42578125" style="192" customWidth="1"/>
    <col min="3337" max="3339" width="9.7109375" style="192" customWidth="1"/>
    <col min="3340" max="3340" width="10.85546875" style="192" customWidth="1"/>
    <col min="3341" max="3342" width="11.42578125" style="192" customWidth="1"/>
    <col min="3343" max="3343" width="12.140625" style="192" customWidth="1"/>
    <col min="3344" max="3344" width="15.28515625" style="192" customWidth="1"/>
    <col min="3345" max="3584" width="9.140625" style="192"/>
    <col min="3585" max="3585" width="4.7109375" style="192" customWidth="1"/>
    <col min="3586" max="3586" width="38.85546875" style="192" customWidth="1"/>
    <col min="3587" max="3587" width="14" style="192" customWidth="1"/>
    <col min="3588" max="3588" width="10.5703125" style="192" customWidth="1"/>
    <col min="3589" max="3589" width="14.28515625" style="192" customWidth="1"/>
    <col min="3590" max="3590" width="11" style="192" customWidth="1"/>
    <col min="3591" max="3591" width="14.28515625" style="192" customWidth="1"/>
    <col min="3592" max="3592" width="12.42578125" style="192" customWidth="1"/>
    <col min="3593" max="3595" width="9.7109375" style="192" customWidth="1"/>
    <col min="3596" max="3596" width="10.85546875" style="192" customWidth="1"/>
    <col min="3597" max="3598" width="11.42578125" style="192" customWidth="1"/>
    <col min="3599" max="3599" width="12.140625" style="192" customWidth="1"/>
    <col min="3600" max="3600" width="15.28515625" style="192" customWidth="1"/>
    <col min="3601" max="3840" width="9.140625" style="192"/>
    <col min="3841" max="3841" width="4.7109375" style="192" customWidth="1"/>
    <col min="3842" max="3842" width="38.85546875" style="192" customWidth="1"/>
    <col min="3843" max="3843" width="14" style="192" customWidth="1"/>
    <col min="3844" max="3844" width="10.5703125" style="192" customWidth="1"/>
    <col min="3845" max="3845" width="14.28515625" style="192" customWidth="1"/>
    <col min="3846" max="3846" width="11" style="192" customWidth="1"/>
    <col min="3847" max="3847" width="14.28515625" style="192" customWidth="1"/>
    <col min="3848" max="3848" width="12.42578125" style="192" customWidth="1"/>
    <col min="3849" max="3851" width="9.7109375" style="192" customWidth="1"/>
    <col min="3852" max="3852" width="10.85546875" style="192" customWidth="1"/>
    <col min="3853" max="3854" width="11.42578125" style="192" customWidth="1"/>
    <col min="3855" max="3855" width="12.140625" style="192" customWidth="1"/>
    <col min="3856" max="3856" width="15.28515625" style="192" customWidth="1"/>
    <col min="3857" max="4096" width="9.140625" style="192"/>
    <col min="4097" max="4097" width="4.7109375" style="192" customWidth="1"/>
    <col min="4098" max="4098" width="38.85546875" style="192" customWidth="1"/>
    <col min="4099" max="4099" width="14" style="192" customWidth="1"/>
    <col min="4100" max="4100" width="10.5703125" style="192" customWidth="1"/>
    <col min="4101" max="4101" width="14.28515625" style="192" customWidth="1"/>
    <col min="4102" max="4102" width="11" style="192" customWidth="1"/>
    <col min="4103" max="4103" width="14.28515625" style="192" customWidth="1"/>
    <col min="4104" max="4104" width="12.42578125" style="192" customWidth="1"/>
    <col min="4105" max="4107" width="9.7109375" style="192" customWidth="1"/>
    <col min="4108" max="4108" width="10.85546875" style="192" customWidth="1"/>
    <col min="4109" max="4110" width="11.42578125" style="192" customWidth="1"/>
    <col min="4111" max="4111" width="12.140625" style="192" customWidth="1"/>
    <col min="4112" max="4112" width="15.28515625" style="192" customWidth="1"/>
    <col min="4113" max="4352" width="9.140625" style="192"/>
    <col min="4353" max="4353" width="4.7109375" style="192" customWidth="1"/>
    <col min="4354" max="4354" width="38.85546875" style="192" customWidth="1"/>
    <col min="4355" max="4355" width="14" style="192" customWidth="1"/>
    <col min="4356" max="4356" width="10.5703125" style="192" customWidth="1"/>
    <col min="4357" max="4357" width="14.28515625" style="192" customWidth="1"/>
    <col min="4358" max="4358" width="11" style="192" customWidth="1"/>
    <col min="4359" max="4359" width="14.28515625" style="192" customWidth="1"/>
    <col min="4360" max="4360" width="12.42578125" style="192" customWidth="1"/>
    <col min="4361" max="4363" width="9.7109375" style="192" customWidth="1"/>
    <col min="4364" max="4364" width="10.85546875" style="192" customWidth="1"/>
    <col min="4365" max="4366" width="11.42578125" style="192" customWidth="1"/>
    <col min="4367" max="4367" width="12.140625" style="192" customWidth="1"/>
    <col min="4368" max="4368" width="15.28515625" style="192" customWidth="1"/>
    <col min="4369" max="4608" width="9.140625" style="192"/>
    <col min="4609" max="4609" width="4.7109375" style="192" customWidth="1"/>
    <col min="4610" max="4610" width="38.85546875" style="192" customWidth="1"/>
    <col min="4611" max="4611" width="14" style="192" customWidth="1"/>
    <col min="4612" max="4612" width="10.5703125" style="192" customWidth="1"/>
    <col min="4613" max="4613" width="14.28515625" style="192" customWidth="1"/>
    <col min="4614" max="4614" width="11" style="192" customWidth="1"/>
    <col min="4615" max="4615" width="14.28515625" style="192" customWidth="1"/>
    <col min="4616" max="4616" width="12.42578125" style="192" customWidth="1"/>
    <col min="4617" max="4619" width="9.7109375" style="192" customWidth="1"/>
    <col min="4620" max="4620" width="10.85546875" style="192" customWidth="1"/>
    <col min="4621" max="4622" width="11.42578125" style="192" customWidth="1"/>
    <col min="4623" max="4623" width="12.140625" style="192" customWidth="1"/>
    <col min="4624" max="4624" width="15.28515625" style="192" customWidth="1"/>
    <col min="4625" max="4864" width="9.140625" style="192"/>
    <col min="4865" max="4865" width="4.7109375" style="192" customWidth="1"/>
    <col min="4866" max="4866" width="38.85546875" style="192" customWidth="1"/>
    <col min="4867" max="4867" width="14" style="192" customWidth="1"/>
    <col min="4868" max="4868" width="10.5703125" style="192" customWidth="1"/>
    <col min="4869" max="4869" width="14.28515625" style="192" customWidth="1"/>
    <col min="4870" max="4870" width="11" style="192" customWidth="1"/>
    <col min="4871" max="4871" width="14.28515625" style="192" customWidth="1"/>
    <col min="4872" max="4872" width="12.42578125" style="192" customWidth="1"/>
    <col min="4873" max="4875" width="9.7109375" style="192" customWidth="1"/>
    <col min="4876" max="4876" width="10.85546875" style="192" customWidth="1"/>
    <col min="4877" max="4878" width="11.42578125" style="192" customWidth="1"/>
    <col min="4879" max="4879" width="12.140625" style="192" customWidth="1"/>
    <col min="4880" max="4880" width="15.28515625" style="192" customWidth="1"/>
    <col min="4881" max="5120" width="9.140625" style="192"/>
    <col min="5121" max="5121" width="4.7109375" style="192" customWidth="1"/>
    <col min="5122" max="5122" width="38.85546875" style="192" customWidth="1"/>
    <col min="5123" max="5123" width="14" style="192" customWidth="1"/>
    <col min="5124" max="5124" width="10.5703125" style="192" customWidth="1"/>
    <col min="5125" max="5125" width="14.28515625" style="192" customWidth="1"/>
    <col min="5126" max="5126" width="11" style="192" customWidth="1"/>
    <col min="5127" max="5127" width="14.28515625" style="192" customWidth="1"/>
    <col min="5128" max="5128" width="12.42578125" style="192" customWidth="1"/>
    <col min="5129" max="5131" width="9.7109375" style="192" customWidth="1"/>
    <col min="5132" max="5132" width="10.85546875" style="192" customWidth="1"/>
    <col min="5133" max="5134" width="11.42578125" style="192" customWidth="1"/>
    <col min="5135" max="5135" width="12.140625" style="192" customWidth="1"/>
    <col min="5136" max="5136" width="15.28515625" style="192" customWidth="1"/>
    <col min="5137" max="5376" width="9.140625" style="192"/>
    <col min="5377" max="5377" width="4.7109375" style="192" customWidth="1"/>
    <col min="5378" max="5378" width="38.85546875" style="192" customWidth="1"/>
    <col min="5379" max="5379" width="14" style="192" customWidth="1"/>
    <col min="5380" max="5380" width="10.5703125" style="192" customWidth="1"/>
    <col min="5381" max="5381" width="14.28515625" style="192" customWidth="1"/>
    <col min="5382" max="5382" width="11" style="192" customWidth="1"/>
    <col min="5383" max="5383" width="14.28515625" style="192" customWidth="1"/>
    <col min="5384" max="5384" width="12.42578125" style="192" customWidth="1"/>
    <col min="5385" max="5387" width="9.7109375" style="192" customWidth="1"/>
    <col min="5388" max="5388" width="10.85546875" style="192" customWidth="1"/>
    <col min="5389" max="5390" width="11.42578125" style="192" customWidth="1"/>
    <col min="5391" max="5391" width="12.140625" style="192" customWidth="1"/>
    <col min="5392" max="5392" width="15.28515625" style="192" customWidth="1"/>
    <col min="5393" max="5632" width="9.140625" style="192"/>
    <col min="5633" max="5633" width="4.7109375" style="192" customWidth="1"/>
    <col min="5634" max="5634" width="38.85546875" style="192" customWidth="1"/>
    <col min="5635" max="5635" width="14" style="192" customWidth="1"/>
    <col min="5636" max="5636" width="10.5703125" style="192" customWidth="1"/>
    <col min="5637" max="5637" width="14.28515625" style="192" customWidth="1"/>
    <col min="5638" max="5638" width="11" style="192" customWidth="1"/>
    <col min="5639" max="5639" width="14.28515625" style="192" customWidth="1"/>
    <col min="5640" max="5640" width="12.42578125" style="192" customWidth="1"/>
    <col min="5641" max="5643" width="9.7109375" style="192" customWidth="1"/>
    <col min="5644" max="5644" width="10.85546875" style="192" customWidth="1"/>
    <col min="5645" max="5646" width="11.42578125" style="192" customWidth="1"/>
    <col min="5647" max="5647" width="12.140625" style="192" customWidth="1"/>
    <col min="5648" max="5648" width="15.28515625" style="192" customWidth="1"/>
    <col min="5649" max="5888" width="9.140625" style="192"/>
    <col min="5889" max="5889" width="4.7109375" style="192" customWidth="1"/>
    <col min="5890" max="5890" width="38.85546875" style="192" customWidth="1"/>
    <col min="5891" max="5891" width="14" style="192" customWidth="1"/>
    <col min="5892" max="5892" width="10.5703125" style="192" customWidth="1"/>
    <col min="5893" max="5893" width="14.28515625" style="192" customWidth="1"/>
    <col min="5894" max="5894" width="11" style="192" customWidth="1"/>
    <col min="5895" max="5895" width="14.28515625" style="192" customWidth="1"/>
    <col min="5896" max="5896" width="12.42578125" style="192" customWidth="1"/>
    <col min="5897" max="5899" width="9.7109375" style="192" customWidth="1"/>
    <col min="5900" max="5900" width="10.85546875" style="192" customWidth="1"/>
    <col min="5901" max="5902" width="11.42578125" style="192" customWidth="1"/>
    <col min="5903" max="5903" width="12.140625" style="192" customWidth="1"/>
    <col min="5904" max="5904" width="15.28515625" style="192" customWidth="1"/>
    <col min="5905" max="6144" width="9.140625" style="192"/>
    <col min="6145" max="6145" width="4.7109375" style="192" customWidth="1"/>
    <col min="6146" max="6146" width="38.85546875" style="192" customWidth="1"/>
    <col min="6147" max="6147" width="14" style="192" customWidth="1"/>
    <col min="6148" max="6148" width="10.5703125" style="192" customWidth="1"/>
    <col min="6149" max="6149" width="14.28515625" style="192" customWidth="1"/>
    <col min="6150" max="6150" width="11" style="192" customWidth="1"/>
    <col min="6151" max="6151" width="14.28515625" style="192" customWidth="1"/>
    <col min="6152" max="6152" width="12.42578125" style="192" customWidth="1"/>
    <col min="6153" max="6155" width="9.7109375" style="192" customWidth="1"/>
    <col min="6156" max="6156" width="10.85546875" style="192" customWidth="1"/>
    <col min="6157" max="6158" width="11.42578125" style="192" customWidth="1"/>
    <col min="6159" max="6159" width="12.140625" style="192" customWidth="1"/>
    <col min="6160" max="6160" width="15.28515625" style="192" customWidth="1"/>
    <col min="6161" max="6400" width="9.140625" style="192"/>
    <col min="6401" max="6401" width="4.7109375" style="192" customWidth="1"/>
    <col min="6402" max="6402" width="38.85546875" style="192" customWidth="1"/>
    <col min="6403" max="6403" width="14" style="192" customWidth="1"/>
    <col min="6404" max="6404" width="10.5703125" style="192" customWidth="1"/>
    <col min="6405" max="6405" width="14.28515625" style="192" customWidth="1"/>
    <col min="6406" max="6406" width="11" style="192" customWidth="1"/>
    <col min="6407" max="6407" width="14.28515625" style="192" customWidth="1"/>
    <col min="6408" max="6408" width="12.42578125" style="192" customWidth="1"/>
    <col min="6409" max="6411" width="9.7109375" style="192" customWidth="1"/>
    <col min="6412" max="6412" width="10.85546875" style="192" customWidth="1"/>
    <col min="6413" max="6414" width="11.42578125" style="192" customWidth="1"/>
    <col min="6415" max="6415" width="12.140625" style="192" customWidth="1"/>
    <col min="6416" max="6416" width="15.28515625" style="192" customWidth="1"/>
    <col min="6417" max="6656" width="9.140625" style="192"/>
    <col min="6657" max="6657" width="4.7109375" style="192" customWidth="1"/>
    <col min="6658" max="6658" width="38.85546875" style="192" customWidth="1"/>
    <col min="6659" max="6659" width="14" style="192" customWidth="1"/>
    <col min="6660" max="6660" width="10.5703125" style="192" customWidth="1"/>
    <col min="6661" max="6661" width="14.28515625" style="192" customWidth="1"/>
    <col min="6662" max="6662" width="11" style="192" customWidth="1"/>
    <col min="6663" max="6663" width="14.28515625" style="192" customWidth="1"/>
    <col min="6664" max="6664" width="12.42578125" style="192" customWidth="1"/>
    <col min="6665" max="6667" width="9.7109375" style="192" customWidth="1"/>
    <col min="6668" max="6668" width="10.85546875" style="192" customWidth="1"/>
    <col min="6669" max="6670" width="11.42578125" style="192" customWidth="1"/>
    <col min="6671" max="6671" width="12.140625" style="192" customWidth="1"/>
    <col min="6672" max="6672" width="15.28515625" style="192" customWidth="1"/>
    <col min="6673" max="6912" width="9.140625" style="192"/>
    <col min="6913" max="6913" width="4.7109375" style="192" customWidth="1"/>
    <col min="6914" max="6914" width="38.85546875" style="192" customWidth="1"/>
    <col min="6915" max="6915" width="14" style="192" customWidth="1"/>
    <col min="6916" max="6916" width="10.5703125" style="192" customWidth="1"/>
    <col min="6917" max="6917" width="14.28515625" style="192" customWidth="1"/>
    <col min="6918" max="6918" width="11" style="192" customWidth="1"/>
    <col min="6919" max="6919" width="14.28515625" style="192" customWidth="1"/>
    <col min="6920" max="6920" width="12.42578125" style="192" customWidth="1"/>
    <col min="6921" max="6923" width="9.7109375" style="192" customWidth="1"/>
    <col min="6924" max="6924" width="10.85546875" style="192" customWidth="1"/>
    <col min="6925" max="6926" width="11.42578125" style="192" customWidth="1"/>
    <col min="6927" max="6927" width="12.140625" style="192" customWidth="1"/>
    <col min="6928" max="6928" width="15.28515625" style="192" customWidth="1"/>
    <col min="6929" max="7168" width="9.140625" style="192"/>
    <col min="7169" max="7169" width="4.7109375" style="192" customWidth="1"/>
    <col min="7170" max="7170" width="38.85546875" style="192" customWidth="1"/>
    <col min="7171" max="7171" width="14" style="192" customWidth="1"/>
    <col min="7172" max="7172" width="10.5703125" style="192" customWidth="1"/>
    <col min="7173" max="7173" width="14.28515625" style="192" customWidth="1"/>
    <col min="7174" max="7174" width="11" style="192" customWidth="1"/>
    <col min="7175" max="7175" width="14.28515625" style="192" customWidth="1"/>
    <col min="7176" max="7176" width="12.42578125" style="192" customWidth="1"/>
    <col min="7177" max="7179" width="9.7109375" style="192" customWidth="1"/>
    <col min="7180" max="7180" width="10.85546875" style="192" customWidth="1"/>
    <col min="7181" max="7182" width="11.42578125" style="192" customWidth="1"/>
    <col min="7183" max="7183" width="12.140625" style="192" customWidth="1"/>
    <col min="7184" max="7184" width="15.28515625" style="192" customWidth="1"/>
    <col min="7185" max="7424" width="9.140625" style="192"/>
    <col min="7425" max="7425" width="4.7109375" style="192" customWidth="1"/>
    <col min="7426" max="7426" width="38.85546875" style="192" customWidth="1"/>
    <col min="7427" max="7427" width="14" style="192" customWidth="1"/>
    <col min="7428" max="7428" width="10.5703125" style="192" customWidth="1"/>
    <col min="7429" max="7429" width="14.28515625" style="192" customWidth="1"/>
    <col min="7430" max="7430" width="11" style="192" customWidth="1"/>
    <col min="7431" max="7431" width="14.28515625" style="192" customWidth="1"/>
    <col min="7432" max="7432" width="12.42578125" style="192" customWidth="1"/>
    <col min="7433" max="7435" width="9.7109375" style="192" customWidth="1"/>
    <col min="7436" max="7436" width="10.85546875" style="192" customWidth="1"/>
    <col min="7437" max="7438" width="11.42578125" style="192" customWidth="1"/>
    <col min="7439" max="7439" width="12.140625" style="192" customWidth="1"/>
    <col min="7440" max="7440" width="15.28515625" style="192" customWidth="1"/>
    <col min="7441" max="7680" width="9.140625" style="192"/>
    <col min="7681" max="7681" width="4.7109375" style="192" customWidth="1"/>
    <col min="7682" max="7682" width="38.85546875" style="192" customWidth="1"/>
    <col min="7683" max="7683" width="14" style="192" customWidth="1"/>
    <col min="7684" max="7684" width="10.5703125" style="192" customWidth="1"/>
    <col min="7685" max="7685" width="14.28515625" style="192" customWidth="1"/>
    <col min="7686" max="7686" width="11" style="192" customWidth="1"/>
    <col min="7687" max="7687" width="14.28515625" style="192" customWidth="1"/>
    <col min="7688" max="7688" width="12.42578125" style="192" customWidth="1"/>
    <col min="7689" max="7691" width="9.7109375" style="192" customWidth="1"/>
    <col min="7692" max="7692" width="10.85546875" style="192" customWidth="1"/>
    <col min="7693" max="7694" width="11.42578125" style="192" customWidth="1"/>
    <col min="7695" max="7695" width="12.140625" style="192" customWidth="1"/>
    <col min="7696" max="7696" width="15.28515625" style="192" customWidth="1"/>
    <col min="7697" max="7936" width="9.140625" style="192"/>
    <col min="7937" max="7937" width="4.7109375" style="192" customWidth="1"/>
    <col min="7938" max="7938" width="38.85546875" style="192" customWidth="1"/>
    <col min="7939" max="7939" width="14" style="192" customWidth="1"/>
    <col min="7940" max="7940" width="10.5703125" style="192" customWidth="1"/>
    <col min="7941" max="7941" width="14.28515625" style="192" customWidth="1"/>
    <col min="7942" max="7942" width="11" style="192" customWidth="1"/>
    <col min="7943" max="7943" width="14.28515625" style="192" customWidth="1"/>
    <col min="7944" max="7944" width="12.42578125" style="192" customWidth="1"/>
    <col min="7945" max="7947" width="9.7109375" style="192" customWidth="1"/>
    <col min="7948" max="7948" width="10.85546875" style="192" customWidth="1"/>
    <col min="7949" max="7950" width="11.42578125" style="192" customWidth="1"/>
    <col min="7951" max="7951" width="12.140625" style="192" customWidth="1"/>
    <col min="7952" max="7952" width="15.28515625" style="192" customWidth="1"/>
    <col min="7953" max="8192" width="9.140625" style="192"/>
    <col min="8193" max="8193" width="4.7109375" style="192" customWidth="1"/>
    <col min="8194" max="8194" width="38.85546875" style="192" customWidth="1"/>
    <col min="8195" max="8195" width="14" style="192" customWidth="1"/>
    <col min="8196" max="8196" width="10.5703125" style="192" customWidth="1"/>
    <col min="8197" max="8197" width="14.28515625" style="192" customWidth="1"/>
    <col min="8198" max="8198" width="11" style="192" customWidth="1"/>
    <col min="8199" max="8199" width="14.28515625" style="192" customWidth="1"/>
    <col min="8200" max="8200" width="12.42578125" style="192" customWidth="1"/>
    <col min="8201" max="8203" width="9.7109375" style="192" customWidth="1"/>
    <col min="8204" max="8204" width="10.85546875" style="192" customWidth="1"/>
    <col min="8205" max="8206" width="11.42578125" style="192" customWidth="1"/>
    <col min="8207" max="8207" width="12.140625" style="192" customWidth="1"/>
    <col min="8208" max="8208" width="15.28515625" style="192" customWidth="1"/>
    <col min="8209" max="8448" width="9.140625" style="192"/>
    <col min="8449" max="8449" width="4.7109375" style="192" customWidth="1"/>
    <col min="8450" max="8450" width="38.85546875" style="192" customWidth="1"/>
    <col min="8451" max="8451" width="14" style="192" customWidth="1"/>
    <col min="8452" max="8452" width="10.5703125" style="192" customWidth="1"/>
    <col min="8453" max="8453" width="14.28515625" style="192" customWidth="1"/>
    <col min="8454" max="8454" width="11" style="192" customWidth="1"/>
    <col min="8455" max="8455" width="14.28515625" style="192" customWidth="1"/>
    <col min="8456" max="8456" width="12.42578125" style="192" customWidth="1"/>
    <col min="8457" max="8459" width="9.7109375" style="192" customWidth="1"/>
    <col min="8460" max="8460" width="10.85546875" style="192" customWidth="1"/>
    <col min="8461" max="8462" width="11.42578125" style="192" customWidth="1"/>
    <col min="8463" max="8463" width="12.140625" style="192" customWidth="1"/>
    <col min="8464" max="8464" width="15.28515625" style="192" customWidth="1"/>
    <col min="8465" max="8704" width="9.140625" style="192"/>
    <col min="8705" max="8705" width="4.7109375" style="192" customWidth="1"/>
    <col min="8706" max="8706" width="38.85546875" style="192" customWidth="1"/>
    <col min="8707" max="8707" width="14" style="192" customWidth="1"/>
    <col min="8708" max="8708" width="10.5703125" style="192" customWidth="1"/>
    <col min="8709" max="8709" width="14.28515625" style="192" customWidth="1"/>
    <col min="8710" max="8710" width="11" style="192" customWidth="1"/>
    <col min="8711" max="8711" width="14.28515625" style="192" customWidth="1"/>
    <col min="8712" max="8712" width="12.42578125" style="192" customWidth="1"/>
    <col min="8713" max="8715" width="9.7109375" style="192" customWidth="1"/>
    <col min="8716" max="8716" width="10.85546875" style="192" customWidth="1"/>
    <col min="8717" max="8718" width="11.42578125" style="192" customWidth="1"/>
    <col min="8719" max="8719" width="12.140625" style="192" customWidth="1"/>
    <col min="8720" max="8720" width="15.28515625" style="192" customWidth="1"/>
    <col min="8721" max="8960" width="9.140625" style="192"/>
    <col min="8961" max="8961" width="4.7109375" style="192" customWidth="1"/>
    <col min="8962" max="8962" width="38.85546875" style="192" customWidth="1"/>
    <col min="8963" max="8963" width="14" style="192" customWidth="1"/>
    <col min="8964" max="8964" width="10.5703125" style="192" customWidth="1"/>
    <col min="8965" max="8965" width="14.28515625" style="192" customWidth="1"/>
    <col min="8966" max="8966" width="11" style="192" customWidth="1"/>
    <col min="8967" max="8967" width="14.28515625" style="192" customWidth="1"/>
    <col min="8968" max="8968" width="12.42578125" style="192" customWidth="1"/>
    <col min="8969" max="8971" width="9.7109375" style="192" customWidth="1"/>
    <col min="8972" max="8972" width="10.85546875" style="192" customWidth="1"/>
    <col min="8973" max="8974" width="11.42578125" style="192" customWidth="1"/>
    <col min="8975" max="8975" width="12.140625" style="192" customWidth="1"/>
    <col min="8976" max="8976" width="15.28515625" style="192" customWidth="1"/>
    <col min="8977" max="9216" width="9.140625" style="192"/>
    <col min="9217" max="9217" width="4.7109375" style="192" customWidth="1"/>
    <col min="9218" max="9218" width="38.85546875" style="192" customWidth="1"/>
    <col min="9219" max="9219" width="14" style="192" customWidth="1"/>
    <col min="9220" max="9220" width="10.5703125" style="192" customWidth="1"/>
    <col min="9221" max="9221" width="14.28515625" style="192" customWidth="1"/>
    <col min="9222" max="9222" width="11" style="192" customWidth="1"/>
    <col min="9223" max="9223" width="14.28515625" style="192" customWidth="1"/>
    <col min="9224" max="9224" width="12.42578125" style="192" customWidth="1"/>
    <col min="9225" max="9227" width="9.7109375" style="192" customWidth="1"/>
    <col min="9228" max="9228" width="10.85546875" style="192" customWidth="1"/>
    <col min="9229" max="9230" width="11.42578125" style="192" customWidth="1"/>
    <col min="9231" max="9231" width="12.140625" style="192" customWidth="1"/>
    <col min="9232" max="9232" width="15.28515625" style="192" customWidth="1"/>
    <col min="9233" max="9472" width="9.140625" style="192"/>
    <col min="9473" max="9473" width="4.7109375" style="192" customWidth="1"/>
    <col min="9474" max="9474" width="38.85546875" style="192" customWidth="1"/>
    <col min="9475" max="9475" width="14" style="192" customWidth="1"/>
    <col min="9476" max="9476" width="10.5703125" style="192" customWidth="1"/>
    <col min="9477" max="9477" width="14.28515625" style="192" customWidth="1"/>
    <col min="9478" max="9478" width="11" style="192" customWidth="1"/>
    <col min="9479" max="9479" width="14.28515625" style="192" customWidth="1"/>
    <col min="9480" max="9480" width="12.42578125" style="192" customWidth="1"/>
    <col min="9481" max="9483" width="9.7109375" style="192" customWidth="1"/>
    <col min="9484" max="9484" width="10.85546875" style="192" customWidth="1"/>
    <col min="9485" max="9486" width="11.42578125" style="192" customWidth="1"/>
    <col min="9487" max="9487" width="12.140625" style="192" customWidth="1"/>
    <col min="9488" max="9488" width="15.28515625" style="192" customWidth="1"/>
    <col min="9489" max="9728" width="9.140625" style="192"/>
    <col min="9729" max="9729" width="4.7109375" style="192" customWidth="1"/>
    <col min="9730" max="9730" width="38.85546875" style="192" customWidth="1"/>
    <col min="9731" max="9731" width="14" style="192" customWidth="1"/>
    <col min="9732" max="9732" width="10.5703125" style="192" customWidth="1"/>
    <col min="9733" max="9733" width="14.28515625" style="192" customWidth="1"/>
    <col min="9734" max="9734" width="11" style="192" customWidth="1"/>
    <col min="9735" max="9735" width="14.28515625" style="192" customWidth="1"/>
    <col min="9736" max="9736" width="12.42578125" style="192" customWidth="1"/>
    <col min="9737" max="9739" width="9.7109375" style="192" customWidth="1"/>
    <col min="9740" max="9740" width="10.85546875" style="192" customWidth="1"/>
    <col min="9741" max="9742" width="11.42578125" style="192" customWidth="1"/>
    <col min="9743" max="9743" width="12.140625" style="192" customWidth="1"/>
    <col min="9744" max="9744" width="15.28515625" style="192" customWidth="1"/>
    <col min="9745" max="9984" width="9.140625" style="192"/>
    <col min="9985" max="9985" width="4.7109375" style="192" customWidth="1"/>
    <col min="9986" max="9986" width="38.85546875" style="192" customWidth="1"/>
    <col min="9987" max="9987" width="14" style="192" customWidth="1"/>
    <col min="9988" max="9988" width="10.5703125" style="192" customWidth="1"/>
    <col min="9989" max="9989" width="14.28515625" style="192" customWidth="1"/>
    <col min="9990" max="9990" width="11" style="192" customWidth="1"/>
    <col min="9991" max="9991" width="14.28515625" style="192" customWidth="1"/>
    <col min="9992" max="9992" width="12.42578125" style="192" customWidth="1"/>
    <col min="9993" max="9995" width="9.7109375" style="192" customWidth="1"/>
    <col min="9996" max="9996" width="10.85546875" style="192" customWidth="1"/>
    <col min="9997" max="9998" width="11.42578125" style="192" customWidth="1"/>
    <col min="9999" max="9999" width="12.140625" style="192" customWidth="1"/>
    <col min="10000" max="10000" width="15.28515625" style="192" customWidth="1"/>
    <col min="10001" max="10240" width="9.140625" style="192"/>
    <col min="10241" max="10241" width="4.7109375" style="192" customWidth="1"/>
    <col min="10242" max="10242" width="38.85546875" style="192" customWidth="1"/>
    <col min="10243" max="10243" width="14" style="192" customWidth="1"/>
    <col min="10244" max="10244" width="10.5703125" style="192" customWidth="1"/>
    <col min="10245" max="10245" width="14.28515625" style="192" customWidth="1"/>
    <col min="10246" max="10246" width="11" style="192" customWidth="1"/>
    <col min="10247" max="10247" width="14.28515625" style="192" customWidth="1"/>
    <col min="10248" max="10248" width="12.42578125" style="192" customWidth="1"/>
    <col min="10249" max="10251" width="9.7109375" style="192" customWidth="1"/>
    <col min="10252" max="10252" width="10.85546875" style="192" customWidth="1"/>
    <col min="10253" max="10254" width="11.42578125" style="192" customWidth="1"/>
    <col min="10255" max="10255" width="12.140625" style="192" customWidth="1"/>
    <col min="10256" max="10256" width="15.28515625" style="192" customWidth="1"/>
    <col min="10257" max="10496" width="9.140625" style="192"/>
    <col min="10497" max="10497" width="4.7109375" style="192" customWidth="1"/>
    <col min="10498" max="10498" width="38.85546875" style="192" customWidth="1"/>
    <col min="10499" max="10499" width="14" style="192" customWidth="1"/>
    <col min="10500" max="10500" width="10.5703125" style="192" customWidth="1"/>
    <col min="10501" max="10501" width="14.28515625" style="192" customWidth="1"/>
    <col min="10502" max="10502" width="11" style="192" customWidth="1"/>
    <col min="10503" max="10503" width="14.28515625" style="192" customWidth="1"/>
    <col min="10504" max="10504" width="12.42578125" style="192" customWidth="1"/>
    <col min="10505" max="10507" width="9.7109375" style="192" customWidth="1"/>
    <col min="10508" max="10508" width="10.85546875" style="192" customWidth="1"/>
    <col min="10509" max="10510" width="11.42578125" style="192" customWidth="1"/>
    <col min="10511" max="10511" width="12.140625" style="192" customWidth="1"/>
    <col min="10512" max="10512" width="15.28515625" style="192" customWidth="1"/>
    <col min="10513" max="10752" width="9.140625" style="192"/>
    <col min="10753" max="10753" width="4.7109375" style="192" customWidth="1"/>
    <col min="10754" max="10754" width="38.85546875" style="192" customWidth="1"/>
    <col min="10755" max="10755" width="14" style="192" customWidth="1"/>
    <col min="10756" max="10756" width="10.5703125" style="192" customWidth="1"/>
    <col min="10757" max="10757" width="14.28515625" style="192" customWidth="1"/>
    <col min="10758" max="10758" width="11" style="192" customWidth="1"/>
    <col min="10759" max="10759" width="14.28515625" style="192" customWidth="1"/>
    <col min="10760" max="10760" width="12.42578125" style="192" customWidth="1"/>
    <col min="10761" max="10763" width="9.7109375" style="192" customWidth="1"/>
    <col min="10764" max="10764" width="10.85546875" style="192" customWidth="1"/>
    <col min="10765" max="10766" width="11.42578125" style="192" customWidth="1"/>
    <col min="10767" max="10767" width="12.140625" style="192" customWidth="1"/>
    <col min="10768" max="10768" width="15.28515625" style="192" customWidth="1"/>
    <col min="10769" max="11008" width="9.140625" style="192"/>
    <col min="11009" max="11009" width="4.7109375" style="192" customWidth="1"/>
    <col min="11010" max="11010" width="38.85546875" style="192" customWidth="1"/>
    <col min="11011" max="11011" width="14" style="192" customWidth="1"/>
    <col min="11012" max="11012" width="10.5703125" style="192" customWidth="1"/>
    <col min="11013" max="11013" width="14.28515625" style="192" customWidth="1"/>
    <col min="11014" max="11014" width="11" style="192" customWidth="1"/>
    <col min="11015" max="11015" width="14.28515625" style="192" customWidth="1"/>
    <col min="11016" max="11016" width="12.42578125" style="192" customWidth="1"/>
    <col min="11017" max="11019" width="9.7109375" style="192" customWidth="1"/>
    <col min="11020" max="11020" width="10.85546875" style="192" customWidth="1"/>
    <col min="11021" max="11022" width="11.42578125" style="192" customWidth="1"/>
    <col min="11023" max="11023" width="12.140625" style="192" customWidth="1"/>
    <col min="11024" max="11024" width="15.28515625" style="192" customWidth="1"/>
    <col min="11025" max="11264" width="9.140625" style="192"/>
    <col min="11265" max="11265" width="4.7109375" style="192" customWidth="1"/>
    <col min="11266" max="11266" width="38.85546875" style="192" customWidth="1"/>
    <col min="11267" max="11267" width="14" style="192" customWidth="1"/>
    <col min="11268" max="11268" width="10.5703125" style="192" customWidth="1"/>
    <col min="11269" max="11269" width="14.28515625" style="192" customWidth="1"/>
    <col min="11270" max="11270" width="11" style="192" customWidth="1"/>
    <col min="11271" max="11271" width="14.28515625" style="192" customWidth="1"/>
    <col min="11272" max="11272" width="12.42578125" style="192" customWidth="1"/>
    <col min="11273" max="11275" width="9.7109375" style="192" customWidth="1"/>
    <col min="11276" max="11276" width="10.85546875" style="192" customWidth="1"/>
    <col min="11277" max="11278" width="11.42578125" style="192" customWidth="1"/>
    <col min="11279" max="11279" width="12.140625" style="192" customWidth="1"/>
    <col min="11280" max="11280" width="15.28515625" style="192" customWidth="1"/>
    <col min="11281" max="11520" width="9.140625" style="192"/>
    <col min="11521" max="11521" width="4.7109375" style="192" customWidth="1"/>
    <col min="11522" max="11522" width="38.85546875" style="192" customWidth="1"/>
    <col min="11523" max="11523" width="14" style="192" customWidth="1"/>
    <col min="11524" max="11524" width="10.5703125" style="192" customWidth="1"/>
    <col min="11525" max="11525" width="14.28515625" style="192" customWidth="1"/>
    <col min="11526" max="11526" width="11" style="192" customWidth="1"/>
    <col min="11527" max="11527" width="14.28515625" style="192" customWidth="1"/>
    <col min="11528" max="11528" width="12.42578125" style="192" customWidth="1"/>
    <col min="11529" max="11531" width="9.7109375" style="192" customWidth="1"/>
    <col min="11532" max="11532" width="10.85546875" style="192" customWidth="1"/>
    <col min="11533" max="11534" width="11.42578125" style="192" customWidth="1"/>
    <col min="11535" max="11535" width="12.140625" style="192" customWidth="1"/>
    <col min="11536" max="11536" width="15.28515625" style="192" customWidth="1"/>
    <col min="11537" max="11776" width="9.140625" style="192"/>
    <col min="11777" max="11777" width="4.7109375" style="192" customWidth="1"/>
    <col min="11778" max="11778" width="38.85546875" style="192" customWidth="1"/>
    <col min="11779" max="11779" width="14" style="192" customWidth="1"/>
    <col min="11780" max="11780" width="10.5703125" style="192" customWidth="1"/>
    <col min="11781" max="11781" width="14.28515625" style="192" customWidth="1"/>
    <col min="11782" max="11782" width="11" style="192" customWidth="1"/>
    <col min="11783" max="11783" width="14.28515625" style="192" customWidth="1"/>
    <col min="11784" max="11784" width="12.42578125" style="192" customWidth="1"/>
    <col min="11785" max="11787" width="9.7109375" style="192" customWidth="1"/>
    <col min="11788" max="11788" width="10.85546875" style="192" customWidth="1"/>
    <col min="11789" max="11790" width="11.42578125" style="192" customWidth="1"/>
    <col min="11791" max="11791" width="12.140625" style="192" customWidth="1"/>
    <col min="11792" max="11792" width="15.28515625" style="192" customWidth="1"/>
    <col min="11793" max="12032" width="9.140625" style="192"/>
    <col min="12033" max="12033" width="4.7109375" style="192" customWidth="1"/>
    <col min="12034" max="12034" width="38.85546875" style="192" customWidth="1"/>
    <col min="12035" max="12035" width="14" style="192" customWidth="1"/>
    <col min="12036" max="12036" width="10.5703125" style="192" customWidth="1"/>
    <col min="12037" max="12037" width="14.28515625" style="192" customWidth="1"/>
    <col min="12038" max="12038" width="11" style="192" customWidth="1"/>
    <col min="12039" max="12039" width="14.28515625" style="192" customWidth="1"/>
    <col min="12040" max="12040" width="12.42578125" style="192" customWidth="1"/>
    <col min="12041" max="12043" width="9.7109375" style="192" customWidth="1"/>
    <col min="12044" max="12044" width="10.85546875" style="192" customWidth="1"/>
    <col min="12045" max="12046" width="11.42578125" style="192" customWidth="1"/>
    <col min="12047" max="12047" width="12.140625" style="192" customWidth="1"/>
    <col min="12048" max="12048" width="15.28515625" style="192" customWidth="1"/>
    <col min="12049" max="12288" width="9.140625" style="192"/>
    <col min="12289" max="12289" width="4.7109375" style="192" customWidth="1"/>
    <col min="12290" max="12290" width="38.85546875" style="192" customWidth="1"/>
    <col min="12291" max="12291" width="14" style="192" customWidth="1"/>
    <col min="12292" max="12292" width="10.5703125" style="192" customWidth="1"/>
    <col min="12293" max="12293" width="14.28515625" style="192" customWidth="1"/>
    <col min="12294" max="12294" width="11" style="192" customWidth="1"/>
    <col min="12295" max="12295" width="14.28515625" style="192" customWidth="1"/>
    <col min="12296" max="12296" width="12.42578125" style="192" customWidth="1"/>
    <col min="12297" max="12299" width="9.7109375" style="192" customWidth="1"/>
    <col min="12300" max="12300" width="10.85546875" style="192" customWidth="1"/>
    <col min="12301" max="12302" width="11.42578125" style="192" customWidth="1"/>
    <col min="12303" max="12303" width="12.140625" style="192" customWidth="1"/>
    <col min="12304" max="12304" width="15.28515625" style="192" customWidth="1"/>
    <col min="12305" max="12544" width="9.140625" style="192"/>
    <col min="12545" max="12545" width="4.7109375" style="192" customWidth="1"/>
    <col min="12546" max="12546" width="38.85546875" style="192" customWidth="1"/>
    <col min="12547" max="12547" width="14" style="192" customWidth="1"/>
    <col min="12548" max="12548" width="10.5703125" style="192" customWidth="1"/>
    <col min="12549" max="12549" width="14.28515625" style="192" customWidth="1"/>
    <col min="12550" max="12550" width="11" style="192" customWidth="1"/>
    <col min="12551" max="12551" width="14.28515625" style="192" customWidth="1"/>
    <col min="12552" max="12552" width="12.42578125" style="192" customWidth="1"/>
    <col min="12553" max="12555" width="9.7109375" style="192" customWidth="1"/>
    <col min="12556" max="12556" width="10.85546875" style="192" customWidth="1"/>
    <col min="12557" max="12558" width="11.42578125" style="192" customWidth="1"/>
    <col min="12559" max="12559" width="12.140625" style="192" customWidth="1"/>
    <col min="12560" max="12560" width="15.28515625" style="192" customWidth="1"/>
    <col min="12561" max="12800" width="9.140625" style="192"/>
    <col min="12801" max="12801" width="4.7109375" style="192" customWidth="1"/>
    <col min="12802" max="12802" width="38.85546875" style="192" customWidth="1"/>
    <col min="12803" max="12803" width="14" style="192" customWidth="1"/>
    <col min="12804" max="12804" width="10.5703125" style="192" customWidth="1"/>
    <col min="12805" max="12805" width="14.28515625" style="192" customWidth="1"/>
    <col min="12806" max="12806" width="11" style="192" customWidth="1"/>
    <col min="12807" max="12807" width="14.28515625" style="192" customWidth="1"/>
    <col min="12808" max="12808" width="12.42578125" style="192" customWidth="1"/>
    <col min="12809" max="12811" width="9.7109375" style="192" customWidth="1"/>
    <col min="12812" max="12812" width="10.85546875" style="192" customWidth="1"/>
    <col min="12813" max="12814" width="11.42578125" style="192" customWidth="1"/>
    <col min="12815" max="12815" width="12.140625" style="192" customWidth="1"/>
    <col min="12816" max="12816" width="15.28515625" style="192" customWidth="1"/>
    <col min="12817" max="13056" width="9.140625" style="192"/>
    <col min="13057" max="13057" width="4.7109375" style="192" customWidth="1"/>
    <col min="13058" max="13058" width="38.85546875" style="192" customWidth="1"/>
    <col min="13059" max="13059" width="14" style="192" customWidth="1"/>
    <col min="13060" max="13060" width="10.5703125" style="192" customWidth="1"/>
    <col min="13061" max="13061" width="14.28515625" style="192" customWidth="1"/>
    <col min="13062" max="13062" width="11" style="192" customWidth="1"/>
    <col min="13063" max="13063" width="14.28515625" style="192" customWidth="1"/>
    <col min="13064" max="13064" width="12.42578125" style="192" customWidth="1"/>
    <col min="13065" max="13067" width="9.7109375" style="192" customWidth="1"/>
    <col min="13068" max="13068" width="10.85546875" style="192" customWidth="1"/>
    <col min="13069" max="13070" width="11.42578125" style="192" customWidth="1"/>
    <col min="13071" max="13071" width="12.140625" style="192" customWidth="1"/>
    <col min="13072" max="13072" width="15.28515625" style="192" customWidth="1"/>
    <col min="13073" max="13312" width="9.140625" style="192"/>
    <col min="13313" max="13313" width="4.7109375" style="192" customWidth="1"/>
    <col min="13314" max="13314" width="38.85546875" style="192" customWidth="1"/>
    <col min="13315" max="13315" width="14" style="192" customWidth="1"/>
    <col min="13316" max="13316" width="10.5703125" style="192" customWidth="1"/>
    <col min="13317" max="13317" width="14.28515625" style="192" customWidth="1"/>
    <col min="13318" max="13318" width="11" style="192" customWidth="1"/>
    <col min="13319" max="13319" width="14.28515625" style="192" customWidth="1"/>
    <col min="13320" max="13320" width="12.42578125" style="192" customWidth="1"/>
    <col min="13321" max="13323" width="9.7109375" style="192" customWidth="1"/>
    <col min="13324" max="13324" width="10.85546875" style="192" customWidth="1"/>
    <col min="13325" max="13326" width="11.42578125" style="192" customWidth="1"/>
    <col min="13327" max="13327" width="12.140625" style="192" customWidth="1"/>
    <col min="13328" max="13328" width="15.28515625" style="192" customWidth="1"/>
    <col min="13329" max="13568" width="9.140625" style="192"/>
    <col min="13569" max="13569" width="4.7109375" style="192" customWidth="1"/>
    <col min="13570" max="13570" width="38.85546875" style="192" customWidth="1"/>
    <col min="13571" max="13571" width="14" style="192" customWidth="1"/>
    <col min="13572" max="13572" width="10.5703125" style="192" customWidth="1"/>
    <col min="13573" max="13573" width="14.28515625" style="192" customWidth="1"/>
    <col min="13574" max="13574" width="11" style="192" customWidth="1"/>
    <col min="13575" max="13575" width="14.28515625" style="192" customWidth="1"/>
    <col min="13576" max="13576" width="12.42578125" style="192" customWidth="1"/>
    <col min="13577" max="13579" width="9.7109375" style="192" customWidth="1"/>
    <col min="13580" max="13580" width="10.85546875" style="192" customWidth="1"/>
    <col min="13581" max="13582" width="11.42578125" style="192" customWidth="1"/>
    <col min="13583" max="13583" width="12.140625" style="192" customWidth="1"/>
    <col min="13584" max="13584" width="15.28515625" style="192" customWidth="1"/>
    <col min="13585" max="13824" width="9.140625" style="192"/>
    <col min="13825" max="13825" width="4.7109375" style="192" customWidth="1"/>
    <col min="13826" max="13826" width="38.85546875" style="192" customWidth="1"/>
    <col min="13827" max="13827" width="14" style="192" customWidth="1"/>
    <col min="13828" max="13828" width="10.5703125" style="192" customWidth="1"/>
    <col min="13829" max="13829" width="14.28515625" style="192" customWidth="1"/>
    <col min="13830" max="13830" width="11" style="192" customWidth="1"/>
    <col min="13831" max="13831" width="14.28515625" style="192" customWidth="1"/>
    <col min="13832" max="13832" width="12.42578125" style="192" customWidth="1"/>
    <col min="13833" max="13835" width="9.7109375" style="192" customWidth="1"/>
    <col min="13836" max="13836" width="10.85546875" style="192" customWidth="1"/>
    <col min="13837" max="13838" width="11.42578125" style="192" customWidth="1"/>
    <col min="13839" max="13839" width="12.140625" style="192" customWidth="1"/>
    <col min="13840" max="13840" width="15.28515625" style="192" customWidth="1"/>
    <col min="13841" max="14080" width="9.140625" style="192"/>
    <col min="14081" max="14081" width="4.7109375" style="192" customWidth="1"/>
    <col min="14082" max="14082" width="38.85546875" style="192" customWidth="1"/>
    <col min="14083" max="14083" width="14" style="192" customWidth="1"/>
    <col min="14084" max="14084" width="10.5703125" style="192" customWidth="1"/>
    <col min="14085" max="14085" width="14.28515625" style="192" customWidth="1"/>
    <col min="14086" max="14086" width="11" style="192" customWidth="1"/>
    <col min="14087" max="14087" width="14.28515625" style="192" customWidth="1"/>
    <col min="14088" max="14088" width="12.42578125" style="192" customWidth="1"/>
    <col min="14089" max="14091" width="9.7109375" style="192" customWidth="1"/>
    <col min="14092" max="14092" width="10.85546875" style="192" customWidth="1"/>
    <col min="14093" max="14094" width="11.42578125" style="192" customWidth="1"/>
    <col min="14095" max="14095" width="12.140625" style="192" customWidth="1"/>
    <col min="14096" max="14096" width="15.28515625" style="192" customWidth="1"/>
    <col min="14097" max="14336" width="9.140625" style="192"/>
    <col min="14337" max="14337" width="4.7109375" style="192" customWidth="1"/>
    <col min="14338" max="14338" width="38.85546875" style="192" customWidth="1"/>
    <col min="14339" max="14339" width="14" style="192" customWidth="1"/>
    <col min="14340" max="14340" width="10.5703125" style="192" customWidth="1"/>
    <col min="14341" max="14341" width="14.28515625" style="192" customWidth="1"/>
    <col min="14342" max="14342" width="11" style="192" customWidth="1"/>
    <col min="14343" max="14343" width="14.28515625" style="192" customWidth="1"/>
    <col min="14344" max="14344" width="12.42578125" style="192" customWidth="1"/>
    <col min="14345" max="14347" width="9.7109375" style="192" customWidth="1"/>
    <col min="14348" max="14348" width="10.85546875" style="192" customWidth="1"/>
    <col min="14349" max="14350" width="11.42578125" style="192" customWidth="1"/>
    <col min="14351" max="14351" width="12.140625" style="192" customWidth="1"/>
    <col min="14352" max="14352" width="15.28515625" style="192" customWidth="1"/>
    <col min="14353" max="14592" width="9.140625" style="192"/>
    <col min="14593" max="14593" width="4.7109375" style="192" customWidth="1"/>
    <col min="14594" max="14594" width="38.85546875" style="192" customWidth="1"/>
    <col min="14595" max="14595" width="14" style="192" customWidth="1"/>
    <col min="14596" max="14596" width="10.5703125" style="192" customWidth="1"/>
    <col min="14597" max="14597" width="14.28515625" style="192" customWidth="1"/>
    <col min="14598" max="14598" width="11" style="192" customWidth="1"/>
    <col min="14599" max="14599" width="14.28515625" style="192" customWidth="1"/>
    <col min="14600" max="14600" width="12.42578125" style="192" customWidth="1"/>
    <col min="14601" max="14603" width="9.7109375" style="192" customWidth="1"/>
    <col min="14604" max="14604" width="10.85546875" style="192" customWidth="1"/>
    <col min="14605" max="14606" width="11.42578125" style="192" customWidth="1"/>
    <col min="14607" max="14607" width="12.140625" style="192" customWidth="1"/>
    <col min="14608" max="14608" width="15.28515625" style="192" customWidth="1"/>
    <col min="14609" max="14848" width="9.140625" style="192"/>
    <col min="14849" max="14849" width="4.7109375" style="192" customWidth="1"/>
    <col min="14850" max="14850" width="38.85546875" style="192" customWidth="1"/>
    <col min="14851" max="14851" width="14" style="192" customWidth="1"/>
    <col min="14852" max="14852" width="10.5703125" style="192" customWidth="1"/>
    <col min="14853" max="14853" width="14.28515625" style="192" customWidth="1"/>
    <col min="14854" max="14854" width="11" style="192" customWidth="1"/>
    <col min="14855" max="14855" width="14.28515625" style="192" customWidth="1"/>
    <col min="14856" max="14856" width="12.42578125" style="192" customWidth="1"/>
    <col min="14857" max="14859" width="9.7109375" style="192" customWidth="1"/>
    <col min="14860" max="14860" width="10.85546875" style="192" customWidth="1"/>
    <col min="14861" max="14862" width="11.42578125" style="192" customWidth="1"/>
    <col min="14863" max="14863" width="12.140625" style="192" customWidth="1"/>
    <col min="14864" max="14864" width="15.28515625" style="192" customWidth="1"/>
    <col min="14865" max="15104" width="9.140625" style="192"/>
    <col min="15105" max="15105" width="4.7109375" style="192" customWidth="1"/>
    <col min="15106" max="15106" width="38.85546875" style="192" customWidth="1"/>
    <col min="15107" max="15107" width="14" style="192" customWidth="1"/>
    <col min="15108" max="15108" width="10.5703125" style="192" customWidth="1"/>
    <col min="15109" max="15109" width="14.28515625" style="192" customWidth="1"/>
    <col min="15110" max="15110" width="11" style="192" customWidth="1"/>
    <col min="15111" max="15111" width="14.28515625" style="192" customWidth="1"/>
    <col min="15112" max="15112" width="12.42578125" style="192" customWidth="1"/>
    <col min="15113" max="15115" width="9.7109375" style="192" customWidth="1"/>
    <col min="15116" max="15116" width="10.85546875" style="192" customWidth="1"/>
    <col min="15117" max="15118" width="11.42578125" style="192" customWidth="1"/>
    <col min="15119" max="15119" width="12.140625" style="192" customWidth="1"/>
    <col min="15120" max="15120" width="15.28515625" style="192" customWidth="1"/>
    <col min="15121" max="15360" width="9.140625" style="192"/>
    <col min="15361" max="15361" width="4.7109375" style="192" customWidth="1"/>
    <col min="15362" max="15362" width="38.85546875" style="192" customWidth="1"/>
    <col min="15363" max="15363" width="14" style="192" customWidth="1"/>
    <col min="15364" max="15364" width="10.5703125" style="192" customWidth="1"/>
    <col min="15365" max="15365" width="14.28515625" style="192" customWidth="1"/>
    <col min="15366" max="15366" width="11" style="192" customWidth="1"/>
    <col min="15367" max="15367" width="14.28515625" style="192" customWidth="1"/>
    <col min="15368" max="15368" width="12.42578125" style="192" customWidth="1"/>
    <col min="15369" max="15371" width="9.7109375" style="192" customWidth="1"/>
    <col min="15372" max="15372" width="10.85546875" style="192" customWidth="1"/>
    <col min="15373" max="15374" width="11.42578125" style="192" customWidth="1"/>
    <col min="15375" max="15375" width="12.140625" style="192" customWidth="1"/>
    <col min="15376" max="15376" width="15.28515625" style="192" customWidth="1"/>
    <col min="15377" max="15616" width="9.140625" style="192"/>
    <col min="15617" max="15617" width="4.7109375" style="192" customWidth="1"/>
    <col min="15618" max="15618" width="38.85546875" style="192" customWidth="1"/>
    <col min="15619" max="15619" width="14" style="192" customWidth="1"/>
    <col min="15620" max="15620" width="10.5703125" style="192" customWidth="1"/>
    <col min="15621" max="15621" width="14.28515625" style="192" customWidth="1"/>
    <col min="15622" max="15622" width="11" style="192" customWidth="1"/>
    <col min="15623" max="15623" width="14.28515625" style="192" customWidth="1"/>
    <col min="15624" max="15624" width="12.42578125" style="192" customWidth="1"/>
    <col min="15625" max="15627" width="9.7109375" style="192" customWidth="1"/>
    <col min="15628" max="15628" width="10.85546875" style="192" customWidth="1"/>
    <col min="15629" max="15630" width="11.42578125" style="192" customWidth="1"/>
    <col min="15631" max="15631" width="12.140625" style="192" customWidth="1"/>
    <col min="15632" max="15632" width="15.28515625" style="192" customWidth="1"/>
    <col min="15633" max="15872" width="9.140625" style="192"/>
    <col min="15873" max="15873" width="4.7109375" style="192" customWidth="1"/>
    <col min="15874" max="15874" width="38.85546875" style="192" customWidth="1"/>
    <col min="15875" max="15875" width="14" style="192" customWidth="1"/>
    <col min="15876" max="15876" width="10.5703125" style="192" customWidth="1"/>
    <col min="15877" max="15877" width="14.28515625" style="192" customWidth="1"/>
    <col min="15878" max="15878" width="11" style="192" customWidth="1"/>
    <col min="15879" max="15879" width="14.28515625" style="192" customWidth="1"/>
    <col min="15880" max="15880" width="12.42578125" style="192" customWidth="1"/>
    <col min="15881" max="15883" width="9.7109375" style="192" customWidth="1"/>
    <col min="15884" max="15884" width="10.85546875" style="192" customWidth="1"/>
    <col min="15885" max="15886" width="11.42578125" style="192" customWidth="1"/>
    <col min="15887" max="15887" width="12.140625" style="192" customWidth="1"/>
    <col min="15888" max="15888" width="15.28515625" style="192" customWidth="1"/>
    <col min="15889" max="16128" width="9.140625" style="192"/>
    <col min="16129" max="16129" width="4.7109375" style="192" customWidth="1"/>
    <col min="16130" max="16130" width="38.85546875" style="192" customWidth="1"/>
    <col min="16131" max="16131" width="14" style="192" customWidth="1"/>
    <col min="16132" max="16132" width="10.5703125" style="192" customWidth="1"/>
    <col min="16133" max="16133" width="14.28515625" style="192" customWidth="1"/>
    <col min="16134" max="16134" width="11" style="192" customWidth="1"/>
    <col min="16135" max="16135" width="14.28515625" style="192" customWidth="1"/>
    <col min="16136" max="16136" width="12.42578125" style="192" customWidth="1"/>
    <col min="16137" max="16139" width="9.7109375" style="192" customWidth="1"/>
    <col min="16140" max="16140" width="10.85546875" style="192" customWidth="1"/>
    <col min="16141" max="16142" width="11.42578125" style="192" customWidth="1"/>
    <col min="16143" max="16143" width="12.140625" style="192" customWidth="1"/>
    <col min="16144" max="16144" width="15.28515625" style="192" customWidth="1"/>
    <col min="16145" max="16384" width="9.140625" style="192"/>
  </cols>
  <sheetData>
    <row r="1" spans="1:16" x14ac:dyDescent="0.25">
      <c r="A1" s="298" t="s">
        <v>291</v>
      </c>
      <c r="B1" s="298"/>
      <c r="O1" s="248" t="s">
        <v>562</v>
      </c>
      <c r="P1" s="248"/>
    </row>
    <row r="2" spans="1:16" x14ac:dyDescent="0.25">
      <c r="A2" s="298" t="s">
        <v>1</v>
      </c>
      <c r="B2" s="298"/>
      <c r="O2" s="197"/>
      <c r="P2" s="197"/>
    </row>
    <row r="3" spans="1:16" x14ac:dyDescent="0.25">
      <c r="A3" s="300" t="s">
        <v>487</v>
      </c>
      <c r="B3" s="300"/>
      <c r="C3" s="300"/>
      <c r="D3" s="300"/>
      <c r="E3" s="300"/>
      <c r="F3" s="300"/>
      <c r="G3" s="300"/>
      <c r="H3" s="300"/>
      <c r="I3" s="300"/>
      <c r="J3" s="300"/>
      <c r="K3" s="300"/>
      <c r="L3" s="300"/>
      <c r="M3" s="300"/>
      <c r="N3" s="300"/>
      <c r="O3" s="300"/>
      <c r="P3" s="300"/>
    </row>
    <row r="4" spans="1:16" x14ac:dyDescent="0.25">
      <c r="A4" s="302" t="str">
        <f>'chi ns xa thi'!A5:F5</f>
        <v>(Kèm theo Nghị quyết số            /NQ-HĐND ngày          /12/2022 của HĐND huyện Nghi Xuân)</v>
      </c>
      <c r="B4" s="303"/>
      <c r="C4" s="303"/>
      <c r="D4" s="303"/>
      <c r="E4" s="303"/>
      <c r="F4" s="303"/>
      <c r="G4" s="303"/>
      <c r="H4" s="303"/>
      <c r="I4" s="303"/>
      <c r="J4" s="303"/>
      <c r="K4" s="303"/>
      <c r="L4" s="303"/>
      <c r="M4" s="303"/>
      <c r="N4" s="303"/>
      <c r="O4" s="303"/>
      <c r="P4" s="303"/>
    </row>
    <row r="5" spans="1:16" ht="20.25" customHeight="1" x14ac:dyDescent="0.25">
      <c r="H5" s="195"/>
      <c r="I5" s="196"/>
      <c r="J5" s="196"/>
      <c r="K5" s="196"/>
      <c r="L5" s="196"/>
      <c r="M5" s="196"/>
      <c r="N5" s="301" t="s">
        <v>257</v>
      </c>
      <c r="O5" s="301"/>
      <c r="P5" s="301"/>
    </row>
    <row r="6" spans="1:16" s="197" customFormat="1" ht="20.25" customHeight="1" x14ac:dyDescent="0.25">
      <c r="A6" s="292" t="s">
        <v>2</v>
      </c>
      <c r="B6" s="292" t="s">
        <v>280</v>
      </c>
      <c r="C6" s="292" t="s">
        <v>488</v>
      </c>
      <c r="D6" s="292" t="s">
        <v>489</v>
      </c>
      <c r="E6" s="292" t="s">
        <v>71</v>
      </c>
      <c r="F6" s="292"/>
      <c r="G6" s="292"/>
      <c r="H6" s="292" t="s">
        <v>490</v>
      </c>
      <c r="I6" s="292"/>
      <c r="J6" s="292"/>
      <c r="K6" s="292"/>
      <c r="L6" s="292"/>
      <c r="M6" s="292"/>
      <c r="N6" s="292"/>
      <c r="O6" s="292"/>
      <c r="P6" s="293" t="s">
        <v>491</v>
      </c>
    </row>
    <row r="7" spans="1:16" s="197" customFormat="1" ht="189.75" customHeight="1" x14ac:dyDescent="0.25">
      <c r="A7" s="292"/>
      <c r="B7" s="292"/>
      <c r="C7" s="292"/>
      <c r="D7" s="292"/>
      <c r="E7" s="184" t="s">
        <v>492</v>
      </c>
      <c r="F7" s="184" t="s">
        <v>493</v>
      </c>
      <c r="G7" s="184" t="s">
        <v>4</v>
      </c>
      <c r="H7" s="184" t="s">
        <v>494</v>
      </c>
      <c r="I7" s="184" t="s">
        <v>495</v>
      </c>
      <c r="J7" s="184" t="s">
        <v>496</v>
      </c>
      <c r="K7" s="184" t="s">
        <v>497</v>
      </c>
      <c r="L7" s="198" t="s">
        <v>498</v>
      </c>
      <c r="M7" s="184" t="s">
        <v>499</v>
      </c>
      <c r="N7" s="184" t="s">
        <v>467</v>
      </c>
      <c r="O7" s="184" t="s">
        <v>500</v>
      </c>
      <c r="P7" s="297"/>
    </row>
    <row r="8" spans="1:16" ht="21.75" customHeight="1" x14ac:dyDescent="0.25">
      <c r="A8" s="200">
        <v>1</v>
      </c>
      <c r="B8" s="201" t="s">
        <v>501</v>
      </c>
      <c r="C8" s="200" t="s">
        <v>502</v>
      </c>
      <c r="D8" s="200">
        <v>1106777</v>
      </c>
      <c r="E8" s="202">
        <v>1357064</v>
      </c>
      <c r="F8" s="202">
        <v>33108</v>
      </c>
      <c r="G8" s="202">
        <f>SUM(E8:F8)</f>
        <v>1390172</v>
      </c>
      <c r="H8" s="203">
        <f>'[2]BANG GIAO MN'!M9</f>
        <v>248129</v>
      </c>
      <c r="I8" s="203">
        <v>5760</v>
      </c>
      <c r="J8" s="203">
        <v>2025</v>
      </c>
      <c r="K8" s="203">
        <v>4050</v>
      </c>
      <c r="L8" s="203"/>
      <c r="M8" s="203"/>
      <c r="N8" s="204"/>
      <c r="O8" s="203">
        <f>SUM(H8:N8)</f>
        <v>259964</v>
      </c>
      <c r="P8" s="203">
        <f t="shared" ref="P8:P53" si="0">ROUND((O8+G8),0)</f>
        <v>1650136</v>
      </c>
    </row>
    <row r="9" spans="1:16" ht="21.75" customHeight="1" x14ac:dyDescent="0.25">
      <c r="A9" s="205">
        <v>2</v>
      </c>
      <c r="B9" s="106" t="s">
        <v>503</v>
      </c>
      <c r="C9" s="205" t="s">
        <v>502</v>
      </c>
      <c r="D9" s="205">
        <v>1106778</v>
      </c>
      <c r="E9" s="206">
        <v>3252525</v>
      </c>
      <c r="F9" s="206">
        <v>0</v>
      </c>
      <c r="G9" s="206">
        <f t="shared" ref="G9:G53" si="1">SUM(E9:F9)</f>
        <v>3252525</v>
      </c>
      <c r="H9" s="207">
        <f>'[2]BANG GIAO MN'!M10</f>
        <v>667764</v>
      </c>
      <c r="I9" s="207">
        <v>14400</v>
      </c>
      <c r="J9" s="207">
        <v>3375</v>
      </c>
      <c r="K9" s="207">
        <v>5400</v>
      </c>
      <c r="L9" s="207"/>
      <c r="M9" s="207"/>
      <c r="N9" s="207"/>
      <c r="O9" s="207">
        <f t="shared" ref="O9:O53" si="2">SUM(H9:N9)</f>
        <v>690939</v>
      </c>
      <c r="P9" s="207">
        <f t="shared" si="0"/>
        <v>3943464</v>
      </c>
    </row>
    <row r="10" spans="1:16" ht="21.75" customHeight="1" x14ac:dyDescent="0.25">
      <c r="A10" s="205">
        <v>3</v>
      </c>
      <c r="B10" s="106" t="s">
        <v>504</v>
      </c>
      <c r="C10" s="205" t="s">
        <v>502</v>
      </c>
      <c r="D10" s="205">
        <v>1116873</v>
      </c>
      <c r="E10" s="206">
        <v>5031823</v>
      </c>
      <c r="F10" s="206">
        <v>0</v>
      </c>
      <c r="G10" s="206">
        <f t="shared" si="1"/>
        <v>5031823</v>
      </c>
      <c r="H10" s="207">
        <f>'[2]BANG GIAO MN'!M11</f>
        <v>1072643</v>
      </c>
      <c r="I10" s="207">
        <v>33120</v>
      </c>
      <c r="J10" s="207">
        <v>15660</v>
      </c>
      <c r="K10" s="207">
        <v>8100</v>
      </c>
      <c r="L10" s="207"/>
      <c r="M10" s="207"/>
      <c r="N10" s="207"/>
      <c r="O10" s="207">
        <f t="shared" si="2"/>
        <v>1129523</v>
      </c>
      <c r="P10" s="207">
        <f t="shared" si="0"/>
        <v>6161346</v>
      </c>
    </row>
    <row r="11" spans="1:16" ht="21.75" customHeight="1" x14ac:dyDescent="0.25">
      <c r="A11" s="205">
        <v>4</v>
      </c>
      <c r="B11" s="106" t="s">
        <v>505</v>
      </c>
      <c r="C11" s="205" t="s">
        <v>502</v>
      </c>
      <c r="D11" s="205">
        <v>1106781</v>
      </c>
      <c r="E11" s="206">
        <v>2772227</v>
      </c>
      <c r="F11" s="206">
        <v>0</v>
      </c>
      <c r="G11" s="206">
        <f t="shared" si="1"/>
        <v>2772227</v>
      </c>
      <c r="H11" s="207">
        <f>'[2]BANG GIAO MN'!M12</f>
        <v>581665</v>
      </c>
      <c r="I11" s="207">
        <v>5760</v>
      </c>
      <c r="J11" s="207">
        <v>3600</v>
      </c>
      <c r="K11" s="207">
        <v>2700</v>
      </c>
      <c r="L11" s="207"/>
      <c r="M11" s="207"/>
      <c r="N11" s="207"/>
      <c r="O11" s="207">
        <f t="shared" si="2"/>
        <v>593725</v>
      </c>
      <c r="P11" s="207">
        <f t="shared" si="0"/>
        <v>3365952</v>
      </c>
    </row>
    <row r="12" spans="1:16" ht="21.75" customHeight="1" x14ac:dyDescent="0.25">
      <c r="A12" s="205">
        <v>5</v>
      </c>
      <c r="B12" s="106" t="s">
        <v>506</v>
      </c>
      <c r="C12" s="205" t="s">
        <v>502</v>
      </c>
      <c r="D12" s="205">
        <v>1130410</v>
      </c>
      <c r="E12" s="206">
        <v>2394486</v>
      </c>
      <c r="F12" s="206">
        <v>0</v>
      </c>
      <c r="G12" s="206">
        <f t="shared" si="1"/>
        <v>2394486</v>
      </c>
      <c r="H12" s="207">
        <f>'[2]BANG GIAO MN'!M13</f>
        <v>543825</v>
      </c>
      <c r="I12" s="207">
        <v>4320</v>
      </c>
      <c r="J12" s="207">
        <v>2700</v>
      </c>
      <c r="K12" s="207">
        <v>1350</v>
      </c>
      <c r="L12" s="207"/>
      <c r="M12" s="207"/>
      <c r="N12" s="207"/>
      <c r="O12" s="207">
        <f t="shared" si="2"/>
        <v>552195</v>
      </c>
      <c r="P12" s="207">
        <f t="shared" si="0"/>
        <v>2946681</v>
      </c>
    </row>
    <row r="13" spans="1:16" ht="21.75" customHeight="1" x14ac:dyDescent="0.25">
      <c r="A13" s="205">
        <v>6</v>
      </c>
      <c r="B13" s="106" t="s">
        <v>507</v>
      </c>
      <c r="C13" s="205" t="s">
        <v>502</v>
      </c>
      <c r="D13" s="205">
        <v>1106794</v>
      </c>
      <c r="E13" s="206">
        <v>2445677</v>
      </c>
      <c r="F13" s="206">
        <v>0</v>
      </c>
      <c r="G13" s="206">
        <f t="shared" si="1"/>
        <v>2445677</v>
      </c>
      <c r="H13" s="207">
        <f>'[2]BANG GIAO MN'!M14</f>
        <v>510676</v>
      </c>
      <c r="I13" s="207">
        <v>2880</v>
      </c>
      <c r="J13" s="207">
        <v>1800</v>
      </c>
      <c r="K13" s="207">
        <v>4050</v>
      </c>
      <c r="L13" s="207"/>
      <c r="M13" s="207"/>
      <c r="N13" s="207"/>
      <c r="O13" s="207">
        <f t="shared" si="2"/>
        <v>519406</v>
      </c>
      <c r="P13" s="207">
        <f t="shared" si="0"/>
        <v>2965083</v>
      </c>
    </row>
    <row r="14" spans="1:16" ht="21.75" customHeight="1" x14ac:dyDescent="0.25">
      <c r="A14" s="205">
        <v>7</v>
      </c>
      <c r="B14" s="106" t="s">
        <v>508</v>
      </c>
      <c r="C14" s="205" t="s">
        <v>502</v>
      </c>
      <c r="D14" s="205">
        <v>1106796</v>
      </c>
      <c r="E14" s="206">
        <v>2426089</v>
      </c>
      <c r="F14" s="206">
        <v>37379</v>
      </c>
      <c r="G14" s="206">
        <f t="shared" si="1"/>
        <v>2463468</v>
      </c>
      <c r="H14" s="207">
        <f>'[2]BANG GIAO MN'!M15</f>
        <v>521166</v>
      </c>
      <c r="I14" s="207">
        <v>17280</v>
      </c>
      <c r="J14" s="207">
        <v>4275</v>
      </c>
      <c r="K14" s="207">
        <v>9450</v>
      </c>
      <c r="L14" s="207"/>
      <c r="M14" s="207"/>
      <c r="N14" s="207"/>
      <c r="O14" s="207">
        <f t="shared" si="2"/>
        <v>552171</v>
      </c>
      <c r="P14" s="207">
        <f t="shared" si="0"/>
        <v>3015639</v>
      </c>
    </row>
    <row r="15" spans="1:16" ht="21.75" customHeight="1" x14ac:dyDescent="0.25">
      <c r="A15" s="205">
        <v>8</v>
      </c>
      <c r="B15" s="106" t="s">
        <v>509</v>
      </c>
      <c r="C15" s="205" t="s">
        <v>502</v>
      </c>
      <c r="D15" s="205">
        <v>1106797</v>
      </c>
      <c r="E15" s="206">
        <v>2468333</v>
      </c>
      <c r="F15" s="206">
        <v>0</v>
      </c>
      <c r="G15" s="206">
        <f t="shared" si="1"/>
        <v>2468333</v>
      </c>
      <c r="H15" s="207">
        <f>'[2]BANG GIAO MN'!M16</f>
        <v>503563</v>
      </c>
      <c r="I15" s="207">
        <v>44640</v>
      </c>
      <c r="J15" s="207">
        <v>2700</v>
      </c>
      <c r="K15" s="207">
        <v>2700</v>
      </c>
      <c r="L15" s="207"/>
      <c r="M15" s="207"/>
      <c r="N15" s="207"/>
      <c r="O15" s="207">
        <f t="shared" si="2"/>
        <v>553603</v>
      </c>
      <c r="P15" s="207">
        <f t="shared" si="0"/>
        <v>3021936</v>
      </c>
    </row>
    <row r="16" spans="1:16" ht="21.75" customHeight="1" x14ac:dyDescent="0.25">
      <c r="A16" s="205">
        <v>9</v>
      </c>
      <c r="B16" s="106" t="s">
        <v>510</v>
      </c>
      <c r="C16" s="205" t="s">
        <v>502</v>
      </c>
      <c r="D16" s="205">
        <v>1130411</v>
      </c>
      <c r="E16" s="206">
        <v>3322313</v>
      </c>
      <c r="F16" s="206">
        <v>0</v>
      </c>
      <c r="G16" s="206">
        <f t="shared" si="1"/>
        <v>3322313</v>
      </c>
      <c r="H16" s="207">
        <f>'[2]BANG GIAO MN'!M17</f>
        <v>683158</v>
      </c>
      <c r="I16" s="207">
        <v>4320</v>
      </c>
      <c r="J16" s="207">
        <v>6075</v>
      </c>
      <c r="K16" s="207">
        <v>8100</v>
      </c>
      <c r="L16" s="207"/>
      <c r="M16" s="207"/>
      <c r="N16" s="207"/>
      <c r="O16" s="207">
        <f t="shared" si="2"/>
        <v>701653</v>
      </c>
      <c r="P16" s="207">
        <f t="shared" si="0"/>
        <v>4023966</v>
      </c>
    </row>
    <row r="17" spans="1:16" ht="21.75" customHeight="1" x14ac:dyDescent="0.25">
      <c r="A17" s="205">
        <v>10</v>
      </c>
      <c r="B17" s="106" t="s">
        <v>511</v>
      </c>
      <c r="C17" s="205" t="s">
        <v>502</v>
      </c>
      <c r="D17" s="205">
        <v>1106800</v>
      </c>
      <c r="E17" s="206">
        <v>2525430</v>
      </c>
      <c r="F17" s="206">
        <v>37379</v>
      </c>
      <c r="G17" s="206">
        <f t="shared" si="1"/>
        <v>2562809</v>
      </c>
      <c r="H17" s="207">
        <f>'[2]BANG GIAO MN'!M18</f>
        <v>542122</v>
      </c>
      <c r="I17" s="207">
        <v>17280</v>
      </c>
      <c r="J17" s="207">
        <v>4050</v>
      </c>
      <c r="K17" s="207">
        <v>6750</v>
      </c>
      <c r="L17" s="207">
        <v>11720</v>
      </c>
      <c r="M17" s="207"/>
      <c r="N17" s="207"/>
      <c r="O17" s="207">
        <f t="shared" si="2"/>
        <v>581922</v>
      </c>
      <c r="P17" s="207">
        <f t="shared" si="0"/>
        <v>3144731</v>
      </c>
    </row>
    <row r="18" spans="1:16" ht="21.75" customHeight="1" x14ac:dyDescent="0.25">
      <c r="A18" s="205">
        <v>11</v>
      </c>
      <c r="B18" s="106" t="s">
        <v>512</v>
      </c>
      <c r="C18" s="205" t="s">
        <v>502</v>
      </c>
      <c r="D18" s="205">
        <v>1106786</v>
      </c>
      <c r="E18" s="206">
        <v>2534556</v>
      </c>
      <c r="F18" s="206">
        <v>0</v>
      </c>
      <c r="G18" s="206">
        <f t="shared" si="1"/>
        <v>2534556</v>
      </c>
      <c r="H18" s="207">
        <f>'[2]BANG GIAO MN'!M19</f>
        <v>523417</v>
      </c>
      <c r="I18" s="207">
        <v>18720</v>
      </c>
      <c r="J18" s="207">
        <v>3375</v>
      </c>
      <c r="K18" s="207">
        <v>2700</v>
      </c>
      <c r="L18" s="207"/>
      <c r="M18" s="207"/>
      <c r="N18" s="207"/>
      <c r="O18" s="207">
        <f t="shared" si="2"/>
        <v>548212</v>
      </c>
      <c r="P18" s="207">
        <f t="shared" si="0"/>
        <v>3082768</v>
      </c>
    </row>
    <row r="19" spans="1:16" ht="21.75" customHeight="1" x14ac:dyDescent="0.25">
      <c r="A19" s="205">
        <v>12</v>
      </c>
      <c r="B19" s="106" t="s">
        <v>513</v>
      </c>
      <c r="C19" s="205" t="s">
        <v>502</v>
      </c>
      <c r="D19" s="205">
        <v>1106785</v>
      </c>
      <c r="E19" s="206">
        <v>2046118</v>
      </c>
      <c r="F19" s="206">
        <v>0</v>
      </c>
      <c r="G19" s="206">
        <f t="shared" si="1"/>
        <v>2046118</v>
      </c>
      <c r="H19" s="207">
        <f>'[2]BANG GIAO MN'!M20</f>
        <v>434081</v>
      </c>
      <c r="I19" s="207">
        <v>8640</v>
      </c>
      <c r="J19" s="207">
        <v>1800</v>
      </c>
      <c r="K19" s="207">
        <v>2700</v>
      </c>
      <c r="L19" s="207"/>
      <c r="M19" s="207"/>
      <c r="N19" s="207"/>
      <c r="O19" s="207">
        <f t="shared" si="2"/>
        <v>447221</v>
      </c>
      <c r="P19" s="207">
        <f t="shared" si="0"/>
        <v>2493339</v>
      </c>
    </row>
    <row r="20" spans="1:16" ht="21.75" customHeight="1" x14ac:dyDescent="0.25">
      <c r="A20" s="205">
        <v>13</v>
      </c>
      <c r="B20" s="106" t="s">
        <v>514</v>
      </c>
      <c r="C20" s="205" t="s">
        <v>502</v>
      </c>
      <c r="D20" s="205">
        <v>1106788</v>
      </c>
      <c r="E20" s="206">
        <v>3480252</v>
      </c>
      <c r="F20" s="206">
        <v>37379</v>
      </c>
      <c r="G20" s="206">
        <f t="shared" si="1"/>
        <v>3517631</v>
      </c>
      <c r="H20" s="207">
        <f>'[2]BANG GIAO MN'!M21</f>
        <v>741897</v>
      </c>
      <c r="I20" s="207">
        <v>10080</v>
      </c>
      <c r="J20" s="207">
        <v>1800</v>
      </c>
      <c r="K20" s="207">
        <v>1350</v>
      </c>
      <c r="L20" s="207"/>
      <c r="M20" s="207"/>
      <c r="N20" s="207"/>
      <c r="O20" s="207">
        <f t="shared" si="2"/>
        <v>755127</v>
      </c>
      <c r="P20" s="207">
        <f t="shared" si="0"/>
        <v>4272758</v>
      </c>
    </row>
    <row r="21" spans="1:16" ht="21.75" customHeight="1" x14ac:dyDescent="0.25">
      <c r="A21" s="205">
        <v>14</v>
      </c>
      <c r="B21" s="106" t="s">
        <v>515</v>
      </c>
      <c r="C21" s="205" t="s">
        <v>502</v>
      </c>
      <c r="D21" s="205">
        <v>1106789</v>
      </c>
      <c r="E21" s="206">
        <v>3080840</v>
      </c>
      <c r="F21" s="206">
        <v>112138</v>
      </c>
      <c r="G21" s="206">
        <f t="shared" si="1"/>
        <v>3192978</v>
      </c>
      <c r="H21" s="207">
        <f>'[2]BANG GIAO MN'!M22</f>
        <v>604458</v>
      </c>
      <c r="I21" s="207">
        <v>24480</v>
      </c>
      <c r="J21" s="207">
        <v>4950</v>
      </c>
      <c r="K21" s="207">
        <v>6750</v>
      </c>
      <c r="L21" s="207"/>
      <c r="M21" s="207"/>
      <c r="N21" s="207"/>
      <c r="O21" s="207">
        <f t="shared" si="2"/>
        <v>640638</v>
      </c>
      <c r="P21" s="207">
        <f t="shared" si="0"/>
        <v>3833616</v>
      </c>
    </row>
    <row r="22" spans="1:16" ht="21.75" customHeight="1" x14ac:dyDescent="0.25">
      <c r="A22" s="205">
        <v>15</v>
      </c>
      <c r="B22" s="106" t="s">
        <v>516</v>
      </c>
      <c r="C22" s="205" t="s">
        <v>502</v>
      </c>
      <c r="D22" s="205">
        <v>1116876</v>
      </c>
      <c r="E22" s="206">
        <v>6025688</v>
      </c>
      <c r="F22" s="206">
        <v>74759</v>
      </c>
      <c r="G22" s="206">
        <f t="shared" si="1"/>
        <v>6100447</v>
      </c>
      <c r="H22" s="207">
        <f>'[2]BANG GIAO MN'!M23</f>
        <v>1167775</v>
      </c>
      <c r="I22" s="207">
        <v>21600</v>
      </c>
      <c r="J22" s="207">
        <v>4500</v>
      </c>
      <c r="K22" s="207">
        <v>6750</v>
      </c>
      <c r="L22" s="207"/>
      <c r="M22" s="207"/>
      <c r="N22" s="207"/>
      <c r="O22" s="207">
        <f t="shared" si="2"/>
        <v>1200625</v>
      </c>
      <c r="P22" s="207">
        <f t="shared" si="0"/>
        <v>7301072</v>
      </c>
    </row>
    <row r="23" spans="1:16" ht="21.75" customHeight="1" x14ac:dyDescent="0.25">
      <c r="A23" s="205">
        <v>16</v>
      </c>
      <c r="B23" s="106" t="s">
        <v>517</v>
      </c>
      <c r="C23" s="205" t="s">
        <v>502</v>
      </c>
      <c r="D23" s="205">
        <v>1106784</v>
      </c>
      <c r="E23" s="206">
        <v>2093444</v>
      </c>
      <c r="F23" s="206">
        <v>37379</v>
      </c>
      <c r="G23" s="206">
        <f t="shared" si="1"/>
        <v>2130823</v>
      </c>
      <c r="H23" s="207">
        <f>'[2]BANG GIAO MN'!M24</f>
        <v>417587</v>
      </c>
      <c r="I23" s="207">
        <v>5760</v>
      </c>
      <c r="J23" s="207">
        <v>2475</v>
      </c>
      <c r="K23" s="207">
        <v>5400</v>
      </c>
      <c r="L23" s="207"/>
      <c r="M23" s="207"/>
      <c r="N23" s="207"/>
      <c r="O23" s="207">
        <f t="shared" si="2"/>
        <v>431222</v>
      </c>
      <c r="P23" s="207">
        <f t="shared" si="0"/>
        <v>2562045</v>
      </c>
    </row>
    <row r="24" spans="1:16" ht="21.75" customHeight="1" x14ac:dyDescent="0.25">
      <c r="A24" s="205">
        <v>17</v>
      </c>
      <c r="B24" s="106" t="s">
        <v>518</v>
      </c>
      <c r="C24" s="205" t="s">
        <v>502</v>
      </c>
      <c r="D24" s="205">
        <v>1106783</v>
      </c>
      <c r="E24" s="206">
        <v>2384848</v>
      </c>
      <c r="F24" s="206">
        <v>0</v>
      </c>
      <c r="G24" s="206">
        <f t="shared" si="1"/>
        <v>2384848</v>
      </c>
      <c r="H24" s="207">
        <f>'[2]BANG GIAO MN'!M25</f>
        <v>480034</v>
      </c>
      <c r="I24" s="207">
        <v>12960</v>
      </c>
      <c r="J24" s="207">
        <v>2475</v>
      </c>
      <c r="K24" s="207">
        <v>1350</v>
      </c>
      <c r="L24" s="207"/>
      <c r="M24" s="207"/>
      <c r="N24" s="207"/>
      <c r="O24" s="207">
        <f t="shared" si="2"/>
        <v>496819</v>
      </c>
      <c r="P24" s="207">
        <f t="shared" si="0"/>
        <v>2881667</v>
      </c>
    </row>
    <row r="25" spans="1:16" ht="21.75" customHeight="1" x14ac:dyDescent="0.25">
      <c r="A25" s="205">
        <v>18</v>
      </c>
      <c r="B25" s="106" t="s">
        <v>519</v>
      </c>
      <c r="C25" s="205" t="s">
        <v>520</v>
      </c>
      <c r="D25" s="205">
        <v>1047431</v>
      </c>
      <c r="E25" s="207">
        <v>1888535</v>
      </c>
      <c r="F25" s="207">
        <v>41651</v>
      </c>
      <c r="G25" s="206">
        <f t="shared" si="1"/>
        <v>1930186</v>
      </c>
      <c r="H25" s="207">
        <f>'[2]BANG GIAO TH'!L10</f>
        <v>363970</v>
      </c>
      <c r="I25" s="207"/>
      <c r="J25" s="207"/>
      <c r="K25" s="207">
        <v>5400</v>
      </c>
      <c r="L25" s="207">
        <v>11720</v>
      </c>
      <c r="M25" s="207">
        <v>37873</v>
      </c>
      <c r="N25" s="207">
        <v>0</v>
      </c>
      <c r="O25" s="207">
        <f t="shared" si="2"/>
        <v>418963</v>
      </c>
      <c r="P25" s="207">
        <f t="shared" si="0"/>
        <v>2349149</v>
      </c>
    </row>
    <row r="26" spans="1:16" ht="21.75" customHeight="1" x14ac:dyDescent="0.25">
      <c r="A26" s="205">
        <v>19</v>
      </c>
      <c r="B26" s="106" t="s">
        <v>521</v>
      </c>
      <c r="C26" s="205" t="s">
        <v>520</v>
      </c>
      <c r="D26" s="205">
        <v>1116872</v>
      </c>
      <c r="E26" s="207">
        <v>4244093</v>
      </c>
      <c r="F26" s="207">
        <v>0</v>
      </c>
      <c r="G26" s="206">
        <f t="shared" si="1"/>
        <v>4244093</v>
      </c>
      <c r="H26" s="207">
        <f>'[2]BANG GIAO TH'!L11</f>
        <v>882497</v>
      </c>
      <c r="I26" s="207"/>
      <c r="J26" s="207"/>
      <c r="K26" s="207">
        <v>14850</v>
      </c>
      <c r="L26" s="207">
        <v>23440</v>
      </c>
      <c r="M26" s="207">
        <v>118453</v>
      </c>
      <c r="N26" s="207">
        <v>0</v>
      </c>
      <c r="O26" s="207">
        <f t="shared" si="2"/>
        <v>1039240</v>
      </c>
      <c r="P26" s="207">
        <f t="shared" si="0"/>
        <v>5283333</v>
      </c>
    </row>
    <row r="27" spans="1:16" ht="21.75" customHeight="1" x14ac:dyDescent="0.25">
      <c r="A27" s="205">
        <v>20</v>
      </c>
      <c r="B27" s="106" t="s">
        <v>522</v>
      </c>
      <c r="C27" s="205" t="s">
        <v>520</v>
      </c>
      <c r="D27" s="205">
        <v>1116874</v>
      </c>
      <c r="E27" s="207">
        <v>7172926</v>
      </c>
      <c r="F27" s="207">
        <v>208257</v>
      </c>
      <c r="G27" s="206">
        <f t="shared" si="1"/>
        <v>7381183</v>
      </c>
      <c r="H27" s="207">
        <f>'[2]BANG GIAO TH'!L12</f>
        <v>1438790</v>
      </c>
      <c r="I27" s="207"/>
      <c r="J27" s="207"/>
      <c r="K27" s="207">
        <v>14850</v>
      </c>
      <c r="L27" s="207">
        <v>0</v>
      </c>
      <c r="M27" s="207">
        <v>254139</v>
      </c>
      <c r="N27" s="207">
        <v>154299</v>
      </c>
      <c r="O27" s="207">
        <f t="shared" si="2"/>
        <v>1862078</v>
      </c>
      <c r="P27" s="207">
        <f t="shared" si="0"/>
        <v>9243261</v>
      </c>
    </row>
    <row r="28" spans="1:16" ht="21.75" customHeight="1" x14ac:dyDescent="0.25">
      <c r="A28" s="205">
        <v>21</v>
      </c>
      <c r="B28" s="106" t="s">
        <v>523</v>
      </c>
      <c r="C28" s="205" t="s">
        <v>520</v>
      </c>
      <c r="D28" s="205">
        <v>1106502</v>
      </c>
      <c r="E28" s="207">
        <v>4491776</v>
      </c>
      <c r="F28" s="207">
        <v>83303</v>
      </c>
      <c r="G28" s="206">
        <f t="shared" si="1"/>
        <v>4575079</v>
      </c>
      <c r="H28" s="207">
        <f>'[2]BANG GIAO TH'!L13</f>
        <v>917330</v>
      </c>
      <c r="I28" s="207"/>
      <c r="J28" s="207"/>
      <c r="K28" s="207">
        <v>4050</v>
      </c>
      <c r="L28" s="207">
        <v>0</v>
      </c>
      <c r="M28" s="207">
        <v>130614</v>
      </c>
      <c r="N28" s="207">
        <v>0</v>
      </c>
      <c r="O28" s="207">
        <f t="shared" si="2"/>
        <v>1051994</v>
      </c>
      <c r="P28" s="207">
        <f t="shared" si="0"/>
        <v>5627073</v>
      </c>
    </row>
    <row r="29" spans="1:16" ht="21.75" customHeight="1" x14ac:dyDescent="0.25">
      <c r="A29" s="205">
        <v>22</v>
      </c>
      <c r="B29" s="106" t="s">
        <v>524</v>
      </c>
      <c r="C29" s="205" t="s">
        <v>520</v>
      </c>
      <c r="D29" s="205">
        <v>1001235</v>
      </c>
      <c r="E29" s="207">
        <v>2690679</v>
      </c>
      <c r="F29" s="207">
        <v>166606</v>
      </c>
      <c r="G29" s="206">
        <f t="shared" si="1"/>
        <v>2857285</v>
      </c>
      <c r="H29" s="207">
        <f>'[2]BANG GIAO TH'!L14</f>
        <v>592996</v>
      </c>
      <c r="I29" s="207"/>
      <c r="J29" s="207"/>
      <c r="K29" s="207">
        <v>6750</v>
      </c>
      <c r="L29" s="207">
        <v>11720</v>
      </c>
      <c r="M29" s="207">
        <v>81402</v>
      </c>
      <c r="N29" s="207">
        <v>0</v>
      </c>
      <c r="O29" s="207">
        <f t="shared" si="2"/>
        <v>692868</v>
      </c>
      <c r="P29" s="207">
        <f t="shared" si="0"/>
        <v>3550153</v>
      </c>
    </row>
    <row r="30" spans="1:16" ht="21.75" customHeight="1" x14ac:dyDescent="0.25">
      <c r="A30" s="205">
        <v>23</v>
      </c>
      <c r="B30" s="106" t="s">
        <v>525</v>
      </c>
      <c r="C30" s="205" t="s">
        <v>520</v>
      </c>
      <c r="D30" s="205">
        <v>1025146</v>
      </c>
      <c r="E30" s="207">
        <v>2610025</v>
      </c>
      <c r="F30" s="207">
        <v>124954</v>
      </c>
      <c r="G30" s="206">
        <f t="shared" si="1"/>
        <v>2734979</v>
      </c>
      <c r="H30" s="207">
        <f>'[2]BANG GIAO TH'!L15</f>
        <v>535566</v>
      </c>
      <c r="I30" s="207"/>
      <c r="J30" s="207"/>
      <c r="K30" s="207">
        <v>2700</v>
      </c>
      <c r="L30" s="207">
        <v>11720</v>
      </c>
      <c r="M30" s="207">
        <v>38985</v>
      </c>
      <c r="N30" s="207">
        <v>0</v>
      </c>
      <c r="O30" s="207">
        <f t="shared" si="2"/>
        <v>588971</v>
      </c>
      <c r="P30" s="207">
        <f t="shared" si="0"/>
        <v>3323950</v>
      </c>
    </row>
    <row r="31" spans="1:16" ht="21.75" customHeight="1" x14ac:dyDescent="0.25">
      <c r="A31" s="208">
        <v>24</v>
      </c>
      <c r="B31" s="209" t="s">
        <v>526</v>
      </c>
      <c r="C31" s="208" t="s">
        <v>520</v>
      </c>
      <c r="D31" s="208">
        <v>1001242</v>
      </c>
      <c r="E31" s="210">
        <v>3281614</v>
      </c>
      <c r="F31" s="210">
        <v>41651</v>
      </c>
      <c r="G31" s="211">
        <f t="shared" si="1"/>
        <v>3323265</v>
      </c>
      <c r="H31" s="210">
        <f>'[2]BANG GIAO TH'!L16</f>
        <v>658032</v>
      </c>
      <c r="I31" s="210"/>
      <c r="J31" s="210"/>
      <c r="K31" s="210">
        <v>10800</v>
      </c>
      <c r="L31" s="210">
        <v>35160</v>
      </c>
      <c r="M31" s="210">
        <v>40944</v>
      </c>
      <c r="N31" s="210">
        <v>0</v>
      </c>
      <c r="O31" s="210">
        <f t="shared" si="2"/>
        <v>744936</v>
      </c>
      <c r="P31" s="210">
        <f t="shared" si="0"/>
        <v>4068201</v>
      </c>
    </row>
    <row r="32" spans="1:16" ht="21.75" customHeight="1" x14ac:dyDescent="0.25">
      <c r="A32" s="200">
        <v>25</v>
      </c>
      <c r="B32" s="201" t="s">
        <v>527</v>
      </c>
      <c r="C32" s="200" t="s">
        <v>520</v>
      </c>
      <c r="D32" s="200">
        <v>1024914</v>
      </c>
      <c r="E32" s="203">
        <v>4349956</v>
      </c>
      <c r="F32" s="203">
        <v>83303</v>
      </c>
      <c r="G32" s="202">
        <f t="shared" si="1"/>
        <v>4433259</v>
      </c>
      <c r="H32" s="203">
        <f>'[2]BANG GIAO TH'!L17</f>
        <v>823112</v>
      </c>
      <c r="I32" s="203"/>
      <c r="J32" s="203"/>
      <c r="K32" s="203">
        <v>10800</v>
      </c>
      <c r="L32" s="203">
        <v>11720</v>
      </c>
      <c r="M32" s="203">
        <v>143071</v>
      </c>
      <c r="N32" s="203">
        <v>100800</v>
      </c>
      <c r="O32" s="203">
        <f t="shared" si="2"/>
        <v>1089503</v>
      </c>
      <c r="P32" s="203">
        <f t="shared" si="0"/>
        <v>5522762</v>
      </c>
    </row>
    <row r="33" spans="1:16" ht="21.75" customHeight="1" x14ac:dyDescent="0.25">
      <c r="A33" s="205">
        <v>26</v>
      </c>
      <c r="B33" s="106" t="s">
        <v>528</v>
      </c>
      <c r="C33" s="205" t="s">
        <v>520</v>
      </c>
      <c r="D33" s="205">
        <v>1025396</v>
      </c>
      <c r="E33" s="207">
        <v>3493864</v>
      </c>
      <c r="F33" s="207">
        <v>124954</v>
      </c>
      <c r="G33" s="206">
        <f t="shared" si="1"/>
        <v>3618818</v>
      </c>
      <c r="H33" s="207">
        <f>'[2]BANG GIAO TH'!L18</f>
        <v>715376</v>
      </c>
      <c r="I33" s="207"/>
      <c r="J33" s="207"/>
      <c r="K33" s="207">
        <v>20250</v>
      </c>
      <c r="L33" s="207">
        <v>0</v>
      </c>
      <c r="M33" s="207">
        <v>113973</v>
      </c>
      <c r="N33" s="207">
        <v>0</v>
      </c>
      <c r="O33" s="207">
        <f t="shared" si="2"/>
        <v>849599</v>
      </c>
      <c r="P33" s="207">
        <f t="shared" si="0"/>
        <v>4468417</v>
      </c>
    </row>
    <row r="34" spans="1:16" ht="21.75" customHeight="1" x14ac:dyDescent="0.25">
      <c r="A34" s="205">
        <v>27</v>
      </c>
      <c r="B34" s="106" t="s">
        <v>529</v>
      </c>
      <c r="C34" s="205" t="s">
        <v>520</v>
      </c>
      <c r="D34" s="205">
        <v>1001236</v>
      </c>
      <c r="E34" s="207">
        <v>5016400</v>
      </c>
      <c r="F34" s="207">
        <v>166606</v>
      </c>
      <c r="G34" s="206">
        <f t="shared" si="1"/>
        <v>5183006</v>
      </c>
      <c r="H34" s="207">
        <f>'[2]BANG GIAO TH'!L19</f>
        <v>990846</v>
      </c>
      <c r="I34" s="207"/>
      <c r="J34" s="207"/>
      <c r="K34" s="207">
        <v>27000</v>
      </c>
      <c r="L34" s="207">
        <v>70320</v>
      </c>
      <c r="M34" s="207">
        <v>163435</v>
      </c>
      <c r="N34" s="207">
        <v>67219</v>
      </c>
      <c r="O34" s="207">
        <f t="shared" si="2"/>
        <v>1318820</v>
      </c>
      <c r="P34" s="207">
        <f t="shared" si="0"/>
        <v>6501826</v>
      </c>
    </row>
    <row r="35" spans="1:16" ht="21.75" customHeight="1" x14ac:dyDescent="0.25">
      <c r="A35" s="205">
        <v>28</v>
      </c>
      <c r="B35" s="106" t="s">
        <v>530</v>
      </c>
      <c r="C35" s="205" t="s">
        <v>520</v>
      </c>
      <c r="D35" s="205">
        <v>1001237</v>
      </c>
      <c r="E35" s="207">
        <v>1617339</v>
      </c>
      <c r="F35" s="207">
        <v>83303</v>
      </c>
      <c r="G35" s="206">
        <f t="shared" si="1"/>
        <v>1700642</v>
      </c>
      <c r="H35" s="207">
        <f>'[2]BANG GIAO TH'!L20</f>
        <v>338532</v>
      </c>
      <c r="I35" s="207"/>
      <c r="J35" s="207"/>
      <c r="K35" s="207">
        <v>6750</v>
      </c>
      <c r="L35" s="207">
        <v>11720</v>
      </c>
      <c r="M35" s="207">
        <v>42427</v>
      </c>
      <c r="N35" s="207">
        <v>10607</v>
      </c>
      <c r="O35" s="207">
        <f t="shared" si="2"/>
        <v>410036</v>
      </c>
      <c r="P35" s="207">
        <f t="shared" si="0"/>
        <v>2110678</v>
      </c>
    </row>
    <row r="36" spans="1:16" ht="21.75" customHeight="1" x14ac:dyDescent="0.25">
      <c r="A36" s="205">
        <v>29</v>
      </c>
      <c r="B36" s="106" t="s">
        <v>531</v>
      </c>
      <c r="C36" s="205" t="s">
        <v>520</v>
      </c>
      <c r="D36" s="205">
        <v>1130412</v>
      </c>
      <c r="E36" s="207">
        <v>3869053</v>
      </c>
      <c r="F36" s="207">
        <v>0</v>
      </c>
      <c r="G36" s="206">
        <f t="shared" si="1"/>
        <v>3869053</v>
      </c>
      <c r="H36" s="207">
        <f>'[2]BANG GIAO TH'!L21</f>
        <v>851665</v>
      </c>
      <c r="I36" s="207"/>
      <c r="J36" s="207"/>
      <c r="K36" s="207">
        <v>8100</v>
      </c>
      <c r="L36" s="207">
        <v>0</v>
      </c>
      <c r="M36" s="207">
        <v>40964</v>
      </c>
      <c r="N36" s="207">
        <v>0</v>
      </c>
      <c r="O36" s="207">
        <f t="shared" si="2"/>
        <v>900729</v>
      </c>
      <c r="P36" s="207">
        <f t="shared" si="0"/>
        <v>4769782</v>
      </c>
    </row>
    <row r="37" spans="1:16" ht="21.75" customHeight="1" x14ac:dyDescent="0.25">
      <c r="A37" s="205">
        <v>30</v>
      </c>
      <c r="B37" s="106" t="s">
        <v>532</v>
      </c>
      <c r="C37" s="205" t="s">
        <v>520</v>
      </c>
      <c r="D37" s="205">
        <v>1025156</v>
      </c>
      <c r="E37" s="207">
        <v>3147260</v>
      </c>
      <c r="F37" s="207">
        <v>124954</v>
      </c>
      <c r="G37" s="206">
        <f t="shared" si="1"/>
        <v>3272214</v>
      </c>
      <c r="H37" s="207">
        <f>'[2]BANG GIAO TH'!L22</f>
        <v>645686</v>
      </c>
      <c r="I37" s="207"/>
      <c r="J37" s="207"/>
      <c r="K37" s="207">
        <v>4050</v>
      </c>
      <c r="L37" s="207">
        <v>11720</v>
      </c>
      <c r="M37" s="207">
        <v>42281</v>
      </c>
      <c r="N37" s="207">
        <v>0</v>
      </c>
      <c r="O37" s="207">
        <f t="shared" si="2"/>
        <v>703737</v>
      </c>
      <c r="P37" s="207">
        <f t="shared" si="0"/>
        <v>3975951</v>
      </c>
    </row>
    <row r="38" spans="1:16" ht="21.75" customHeight="1" x14ac:dyDescent="0.25">
      <c r="A38" s="205">
        <v>31</v>
      </c>
      <c r="B38" s="106" t="s">
        <v>533</v>
      </c>
      <c r="C38" s="205" t="s">
        <v>520</v>
      </c>
      <c r="D38" s="205">
        <v>1025152</v>
      </c>
      <c r="E38" s="207">
        <v>3172190</v>
      </c>
      <c r="F38" s="207">
        <v>124954</v>
      </c>
      <c r="G38" s="206">
        <f t="shared" si="1"/>
        <v>3297144</v>
      </c>
      <c r="H38" s="207">
        <f>'[2]BANG GIAO TH'!L23</f>
        <v>623859</v>
      </c>
      <c r="I38" s="207"/>
      <c r="J38" s="207"/>
      <c r="K38" s="207">
        <v>13500</v>
      </c>
      <c r="L38" s="207">
        <v>23440</v>
      </c>
      <c r="M38" s="207">
        <v>106661</v>
      </c>
      <c r="N38" s="207">
        <v>26665</v>
      </c>
      <c r="O38" s="207">
        <f t="shared" si="2"/>
        <v>794125</v>
      </c>
      <c r="P38" s="207">
        <f t="shared" si="0"/>
        <v>4091269</v>
      </c>
    </row>
    <row r="39" spans="1:16" ht="21.75" customHeight="1" x14ac:dyDescent="0.25">
      <c r="A39" s="205">
        <v>32</v>
      </c>
      <c r="B39" s="106" t="s">
        <v>534</v>
      </c>
      <c r="C39" s="205" t="s">
        <v>520</v>
      </c>
      <c r="D39" s="205">
        <v>1047430</v>
      </c>
      <c r="E39" s="207">
        <v>2947742</v>
      </c>
      <c r="F39" s="207">
        <v>41651</v>
      </c>
      <c r="G39" s="206">
        <f t="shared" si="1"/>
        <v>2989393</v>
      </c>
      <c r="H39" s="207">
        <f>'[2]BANG GIAO TH'!L24</f>
        <v>552330</v>
      </c>
      <c r="I39" s="207"/>
      <c r="J39" s="207"/>
      <c r="K39" s="207">
        <v>5400</v>
      </c>
      <c r="L39" s="207">
        <v>0</v>
      </c>
      <c r="M39" s="207">
        <v>78031</v>
      </c>
      <c r="N39" s="207">
        <v>0</v>
      </c>
      <c r="O39" s="207">
        <f t="shared" si="2"/>
        <v>635761</v>
      </c>
      <c r="P39" s="207">
        <f t="shared" si="0"/>
        <v>3625154</v>
      </c>
    </row>
    <row r="40" spans="1:16" ht="21.75" customHeight="1" x14ac:dyDescent="0.25">
      <c r="A40" s="205">
        <v>33</v>
      </c>
      <c r="B40" s="106" t="s">
        <v>535</v>
      </c>
      <c r="C40" s="205" t="s">
        <v>520</v>
      </c>
      <c r="D40" s="205">
        <v>1130409</v>
      </c>
      <c r="E40" s="207">
        <v>4395184</v>
      </c>
      <c r="F40" s="207">
        <v>41651</v>
      </c>
      <c r="G40" s="206">
        <f t="shared" si="1"/>
        <v>4436835</v>
      </c>
      <c r="H40" s="207">
        <f>'[2]BANG GIAO TH'!L25</f>
        <v>884779</v>
      </c>
      <c r="I40" s="207"/>
      <c r="J40" s="207"/>
      <c r="K40" s="207">
        <v>13500</v>
      </c>
      <c r="L40" s="207">
        <v>11720</v>
      </c>
      <c r="M40" s="207">
        <v>130046</v>
      </c>
      <c r="N40" s="207">
        <v>17733</v>
      </c>
      <c r="O40" s="207">
        <f t="shared" si="2"/>
        <v>1057778</v>
      </c>
      <c r="P40" s="207">
        <f t="shared" si="0"/>
        <v>5494613</v>
      </c>
    </row>
    <row r="41" spans="1:16" ht="21.75" customHeight="1" x14ac:dyDescent="0.25">
      <c r="A41" s="205">
        <v>34</v>
      </c>
      <c r="B41" s="106" t="s">
        <v>536</v>
      </c>
      <c r="C41" s="205" t="s">
        <v>520</v>
      </c>
      <c r="D41" s="205">
        <v>1009691</v>
      </c>
      <c r="E41" s="207">
        <v>3392121</v>
      </c>
      <c r="F41" s="207">
        <v>208257</v>
      </c>
      <c r="G41" s="206">
        <f t="shared" si="1"/>
        <v>3600378</v>
      </c>
      <c r="H41" s="207">
        <f>'[2]BANG GIAO TH'!L26</f>
        <v>693508</v>
      </c>
      <c r="I41" s="207"/>
      <c r="J41" s="207"/>
      <c r="K41" s="207">
        <v>22950</v>
      </c>
      <c r="L41" s="207">
        <v>11720</v>
      </c>
      <c r="M41" s="207">
        <v>43860</v>
      </c>
      <c r="N41" s="207">
        <v>0</v>
      </c>
      <c r="O41" s="207">
        <f t="shared" si="2"/>
        <v>772038</v>
      </c>
      <c r="P41" s="207">
        <f t="shared" si="0"/>
        <v>4372416</v>
      </c>
    </row>
    <row r="42" spans="1:16" ht="23.25" customHeight="1" x14ac:dyDescent="0.25">
      <c r="A42" s="205">
        <v>35</v>
      </c>
      <c r="B42" s="106" t="s">
        <v>537</v>
      </c>
      <c r="C42" s="205" t="s">
        <v>538</v>
      </c>
      <c r="D42" s="205">
        <v>1009687</v>
      </c>
      <c r="E42" s="207">
        <v>4510969</v>
      </c>
      <c r="F42" s="207">
        <v>0</v>
      </c>
      <c r="G42" s="206">
        <f t="shared" si="1"/>
        <v>4510969</v>
      </c>
      <c r="H42" s="212">
        <f>'[2]GIAO THCS'!P9</f>
        <v>932785</v>
      </c>
      <c r="I42" s="212"/>
      <c r="J42" s="212">
        <v>8100</v>
      </c>
      <c r="K42" s="212">
        <v>22950</v>
      </c>
      <c r="L42" s="212">
        <v>11720</v>
      </c>
      <c r="M42" s="212"/>
      <c r="N42" s="212"/>
      <c r="O42" s="207">
        <f t="shared" si="2"/>
        <v>975555</v>
      </c>
      <c r="P42" s="207">
        <f t="shared" si="0"/>
        <v>5486524</v>
      </c>
    </row>
    <row r="43" spans="1:16" ht="23.25" customHeight="1" x14ac:dyDescent="0.25">
      <c r="A43" s="205">
        <v>36</v>
      </c>
      <c r="B43" s="106" t="s">
        <v>539</v>
      </c>
      <c r="C43" s="205" t="s">
        <v>538</v>
      </c>
      <c r="D43" s="205">
        <v>1009695</v>
      </c>
      <c r="E43" s="207">
        <v>5292146</v>
      </c>
      <c r="F43" s="207">
        <v>124954</v>
      </c>
      <c r="G43" s="206">
        <f t="shared" si="1"/>
        <v>5417100</v>
      </c>
      <c r="H43" s="212">
        <f>'[2]GIAO THCS'!P10</f>
        <v>1086479</v>
      </c>
      <c r="I43" s="212"/>
      <c r="J43" s="212">
        <v>19440</v>
      </c>
      <c r="K43" s="212">
        <v>16200</v>
      </c>
      <c r="L43" s="212">
        <v>0</v>
      </c>
      <c r="M43" s="212"/>
      <c r="N43" s="212"/>
      <c r="O43" s="207">
        <f t="shared" si="2"/>
        <v>1122119</v>
      </c>
      <c r="P43" s="207">
        <f t="shared" si="0"/>
        <v>6539219</v>
      </c>
    </row>
    <row r="44" spans="1:16" ht="23.25" customHeight="1" x14ac:dyDescent="0.25">
      <c r="A44" s="205">
        <v>37</v>
      </c>
      <c r="B44" s="213" t="s">
        <v>540</v>
      </c>
      <c r="C44" s="205" t="s">
        <v>538</v>
      </c>
      <c r="D44" s="205">
        <v>1011442</v>
      </c>
      <c r="E44" s="207">
        <v>6990612</v>
      </c>
      <c r="F44" s="207">
        <v>0</v>
      </c>
      <c r="G44" s="206">
        <f t="shared" si="1"/>
        <v>6990612</v>
      </c>
      <c r="H44" s="212">
        <f>'[2]GIAO THCS'!P11</f>
        <v>1420040</v>
      </c>
      <c r="I44" s="212"/>
      <c r="J44" s="212">
        <v>15120</v>
      </c>
      <c r="K44" s="212">
        <v>12150</v>
      </c>
      <c r="L44" s="212">
        <v>0</v>
      </c>
      <c r="M44" s="212"/>
      <c r="N44" s="212"/>
      <c r="O44" s="207">
        <f t="shared" si="2"/>
        <v>1447310</v>
      </c>
      <c r="P44" s="207">
        <f t="shared" si="0"/>
        <v>8437922</v>
      </c>
    </row>
    <row r="45" spans="1:16" ht="23.25" customHeight="1" x14ac:dyDescent="0.25">
      <c r="A45" s="205">
        <v>38</v>
      </c>
      <c r="B45" s="106" t="s">
        <v>541</v>
      </c>
      <c r="C45" s="205" t="s">
        <v>538</v>
      </c>
      <c r="D45" s="205">
        <v>1011203</v>
      </c>
      <c r="E45" s="207">
        <v>3047146</v>
      </c>
      <c r="F45" s="207">
        <v>27249</v>
      </c>
      <c r="G45" s="206">
        <f t="shared" si="1"/>
        <v>3074395</v>
      </c>
      <c r="H45" s="212">
        <f>'[2]GIAO THCS'!P12</f>
        <v>644648</v>
      </c>
      <c r="I45" s="212"/>
      <c r="J45" s="212">
        <v>2025</v>
      </c>
      <c r="K45" s="212">
        <v>4050</v>
      </c>
      <c r="L45" s="212">
        <v>11720</v>
      </c>
      <c r="M45" s="212"/>
      <c r="N45" s="212"/>
      <c r="O45" s="207">
        <f t="shared" si="2"/>
        <v>662443</v>
      </c>
      <c r="P45" s="207">
        <f t="shared" si="0"/>
        <v>3736838</v>
      </c>
    </row>
    <row r="46" spans="1:16" ht="31.5" x14ac:dyDescent="0.25">
      <c r="A46" s="205">
        <v>39</v>
      </c>
      <c r="B46" s="106" t="s">
        <v>542</v>
      </c>
      <c r="C46" s="205" t="s">
        <v>538</v>
      </c>
      <c r="D46" s="205">
        <v>1121014</v>
      </c>
      <c r="E46" s="207">
        <v>5290186</v>
      </c>
      <c r="F46" s="207">
        <v>41651</v>
      </c>
      <c r="G46" s="206">
        <f t="shared" si="1"/>
        <v>5331837</v>
      </c>
      <c r="H46" s="212">
        <f>'[2]GIAO THCS'!P13</f>
        <v>1077087</v>
      </c>
      <c r="I46" s="212"/>
      <c r="J46" s="212">
        <v>3645</v>
      </c>
      <c r="K46" s="212">
        <v>4050</v>
      </c>
      <c r="L46" s="212">
        <v>11720</v>
      </c>
      <c r="M46" s="212">
        <v>73045</v>
      </c>
      <c r="N46" s="212"/>
      <c r="O46" s="207">
        <f t="shared" si="2"/>
        <v>1169547</v>
      </c>
      <c r="P46" s="207">
        <f t="shared" si="0"/>
        <v>6501384</v>
      </c>
    </row>
    <row r="47" spans="1:16" ht="25.5" customHeight="1" x14ac:dyDescent="0.25">
      <c r="A47" s="205">
        <v>40</v>
      </c>
      <c r="B47" s="106" t="s">
        <v>543</v>
      </c>
      <c r="C47" s="205" t="s">
        <v>538</v>
      </c>
      <c r="D47" s="205">
        <v>1011209</v>
      </c>
      <c r="E47" s="207">
        <v>4345835</v>
      </c>
      <c r="F47" s="207">
        <v>68900</v>
      </c>
      <c r="G47" s="206">
        <f t="shared" si="1"/>
        <v>4414735</v>
      </c>
      <c r="H47" s="212">
        <f>'[2]GIAO THCS'!P14</f>
        <v>968262</v>
      </c>
      <c r="I47" s="212"/>
      <c r="J47" s="212">
        <v>13365</v>
      </c>
      <c r="K47" s="212">
        <v>18900</v>
      </c>
      <c r="L47" s="212">
        <v>46880</v>
      </c>
      <c r="M47" s="212"/>
      <c r="N47" s="212"/>
      <c r="O47" s="207">
        <f t="shared" si="2"/>
        <v>1047407</v>
      </c>
      <c r="P47" s="207">
        <f t="shared" si="0"/>
        <v>5462142</v>
      </c>
    </row>
    <row r="48" spans="1:16" ht="25.5" customHeight="1" x14ac:dyDescent="0.25">
      <c r="A48" s="205">
        <v>41</v>
      </c>
      <c r="B48" s="106" t="s">
        <v>544</v>
      </c>
      <c r="C48" s="205" t="s">
        <v>538</v>
      </c>
      <c r="D48" s="205">
        <v>1011454</v>
      </c>
      <c r="E48" s="207">
        <v>7129734</v>
      </c>
      <c r="F48" s="207">
        <v>0</v>
      </c>
      <c r="G48" s="206">
        <f t="shared" si="1"/>
        <v>7129734</v>
      </c>
      <c r="H48" s="212">
        <f>'[2]GIAO THCS'!P15</f>
        <v>1503364</v>
      </c>
      <c r="I48" s="212"/>
      <c r="J48" s="212">
        <v>14175</v>
      </c>
      <c r="K48" s="212">
        <v>27000</v>
      </c>
      <c r="L48" s="212">
        <v>46880</v>
      </c>
      <c r="M48" s="212"/>
      <c r="N48" s="212"/>
      <c r="O48" s="207">
        <f t="shared" si="2"/>
        <v>1591419</v>
      </c>
      <c r="P48" s="207">
        <f t="shared" si="0"/>
        <v>8721153</v>
      </c>
    </row>
    <row r="49" spans="1:16" ht="25.5" customHeight="1" x14ac:dyDescent="0.25">
      <c r="A49" s="205">
        <v>42</v>
      </c>
      <c r="B49" s="106" t="s">
        <v>545</v>
      </c>
      <c r="C49" s="205" t="s">
        <v>538</v>
      </c>
      <c r="D49" s="205">
        <v>1011456</v>
      </c>
      <c r="E49" s="207">
        <v>6797035</v>
      </c>
      <c r="F49" s="207">
        <v>0</v>
      </c>
      <c r="G49" s="206">
        <f t="shared" si="1"/>
        <v>6797035</v>
      </c>
      <c r="H49" s="212">
        <f>'[2]GIAO THCS'!P16</f>
        <v>1340428</v>
      </c>
      <c r="I49" s="212"/>
      <c r="J49" s="212">
        <v>10530</v>
      </c>
      <c r="K49" s="212">
        <v>21600</v>
      </c>
      <c r="L49" s="212">
        <v>23440</v>
      </c>
      <c r="M49" s="212"/>
      <c r="N49" s="212"/>
      <c r="O49" s="207">
        <f t="shared" si="2"/>
        <v>1395998</v>
      </c>
      <c r="P49" s="207">
        <f t="shared" si="0"/>
        <v>8193033</v>
      </c>
    </row>
    <row r="50" spans="1:16" ht="25.5" customHeight="1" x14ac:dyDescent="0.25">
      <c r="A50" s="205">
        <v>43</v>
      </c>
      <c r="B50" s="106" t="s">
        <v>546</v>
      </c>
      <c r="C50" s="205" t="s">
        <v>538</v>
      </c>
      <c r="D50" s="205">
        <v>1011208</v>
      </c>
      <c r="E50" s="207">
        <v>4690163</v>
      </c>
      <c r="F50" s="207">
        <v>0</v>
      </c>
      <c r="G50" s="206">
        <f t="shared" si="1"/>
        <v>4690163</v>
      </c>
      <c r="H50" s="212">
        <f>'[2]GIAO THCS'!P17</f>
        <v>967937</v>
      </c>
      <c r="I50" s="212"/>
      <c r="J50" s="212">
        <v>11160</v>
      </c>
      <c r="K50" s="212">
        <v>8100</v>
      </c>
      <c r="L50" s="212">
        <v>11720</v>
      </c>
      <c r="M50" s="212"/>
      <c r="N50" s="212"/>
      <c r="O50" s="207">
        <f t="shared" si="2"/>
        <v>998917</v>
      </c>
      <c r="P50" s="207">
        <f t="shared" si="0"/>
        <v>5689080</v>
      </c>
    </row>
    <row r="51" spans="1:16" ht="25.5" customHeight="1" x14ac:dyDescent="0.25">
      <c r="A51" s="205">
        <v>44</v>
      </c>
      <c r="B51" s="106" t="s">
        <v>547</v>
      </c>
      <c r="C51" s="205" t="s">
        <v>538</v>
      </c>
      <c r="D51" s="205">
        <v>1011457</v>
      </c>
      <c r="E51" s="207">
        <v>4884341</v>
      </c>
      <c r="F51" s="207">
        <v>0</v>
      </c>
      <c r="G51" s="206">
        <f t="shared" si="1"/>
        <v>4884341</v>
      </c>
      <c r="H51" s="212">
        <f>'[2]GIAO THCS'!P18</f>
        <v>974522</v>
      </c>
      <c r="I51" s="212"/>
      <c r="J51" s="212">
        <v>11340</v>
      </c>
      <c r="K51" s="212">
        <v>21600</v>
      </c>
      <c r="L51" s="212">
        <v>23440</v>
      </c>
      <c r="M51" s="212"/>
      <c r="N51" s="212"/>
      <c r="O51" s="207">
        <f t="shared" si="2"/>
        <v>1030902</v>
      </c>
      <c r="P51" s="207">
        <f t="shared" si="0"/>
        <v>5915243</v>
      </c>
    </row>
    <row r="52" spans="1:16" ht="31.5" x14ac:dyDescent="0.25">
      <c r="A52" s="205">
        <v>45</v>
      </c>
      <c r="B52" s="106" t="s">
        <v>548</v>
      </c>
      <c r="C52" s="205" t="s">
        <v>538</v>
      </c>
      <c r="D52" s="205">
        <v>1118389</v>
      </c>
      <c r="E52" s="207">
        <v>6565554</v>
      </c>
      <c r="F52" s="207">
        <v>41651</v>
      </c>
      <c r="G52" s="206">
        <f t="shared" si="1"/>
        <v>6607205</v>
      </c>
      <c r="H52" s="212">
        <f>'[2]GIAO THCS'!P19</f>
        <v>1330922</v>
      </c>
      <c r="I52" s="212"/>
      <c r="J52" s="212">
        <v>19035</v>
      </c>
      <c r="K52" s="212">
        <v>22950</v>
      </c>
      <c r="L52" s="212">
        <v>23440</v>
      </c>
      <c r="M52" s="212"/>
      <c r="N52" s="212"/>
      <c r="O52" s="207">
        <f t="shared" si="2"/>
        <v>1396347</v>
      </c>
      <c r="P52" s="207">
        <f t="shared" si="0"/>
        <v>8003552</v>
      </c>
    </row>
    <row r="53" spans="1:16" ht="27" customHeight="1" x14ac:dyDescent="0.25">
      <c r="A53" s="205">
        <v>46</v>
      </c>
      <c r="B53" s="209" t="s">
        <v>549</v>
      </c>
      <c r="C53" s="208" t="s">
        <v>550</v>
      </c>
      <c r="D53" s="208">
        <v>1011354</v>
      </c>
      <c r="E53" s="214"/>
      <c r="F53" s="214"/>
      <c r="G53" s="211">
        <f t="shared" si="1"/>
        <v>0</v>
      </c>
      <c r="H53" s="214">
        <f>'[2]toan nganh'!N16</f>
        <v>1300000</v>
      </c>
      <c r="I53" s="214"/>
      <c r="J53" s="214"/>
      <c r="K53" s="214"/>
      <c r="L53" s="214"/>
      <c r="M53" s="214"/>
      <c r="N53" s="214"/>
      <c r="O53" s="210">
        <f t="shared" si="2"/>
        <v>1300000</v>
      </c>
      <c r="P53" s="210">
        <f t="shared" si="0"/>
        <v>1300000</v>
      </c>
    </row>
    <row r="54" spans="1:16" s="215" customFormat="1" ht="27" customHeight="1" x14ac:dyDescent="0.25">
      <c r="A54" s="199"/>
      <c r="B54" s="184" t="s">
        <v>391</v>
      </c>
      <c r="C54" s="199"/>
      <c r="D54" s="199"/>
      <c r="E54" s="187">
        <f t="shared" ref="E54:P54" si="3">SUM(E8:E53)</f>
        <v>170966191</v>
      </c>
      <c r="F54" s="187">
        <f t="shared" si="3"/>
        <v>2339981</v>
      </c>
      <c r="G54" s="187">
        <f t="shared" si="3"/>
        <v>173306172</v>
      </c>
      <c r="H54" s="187">
        <f t="shared" si="3"/>
        <v>36299308</v>
      </c>
      <c r="I54" s="187">
        <f t="shared" si="3"/>
        <v>252000</v>
      </c>
      <c r="J54" s="187">
        <f t="shared" si="3"/>
        <v>195570</v>
      </c>
      <c r="K54" s="187">
        <f t="shared" si="3"/>
        <v>450900</v>
      </c>
      <c r="L54" s="187">
        <f t="shared" si="3"/>
        <v>468800</v>
      </c>
      <c r="M54" s="187">
        <f t="shared" si="3"/>
        <v>1680204</v>
      </c>
      <c r="N54" s="187">
        <f t="shared" si="3"/>
        <v>377323</v>
      </c>
      <c r="O54" s="187">
        <f t="shared" si="3"/>
        <v>39724105</v>
      </c>
      <c r="P54" s="187">
        <f t="shared" si="3"/>
        <v>213030277</v>
      </c>
    </row>
    <row r="55" spans="1:16" ht="33.75" customHeight="1" x14ac:dyDescent="0.25">
      <c r="I55" s="300"/>
      <c r="J55" s="300"/>
      <c r="K55" s="300"/>
      <c r="L55" s="300"/>
      <c r="M55" s="300"/>
      <c r="N55" s="300"/>
      <c r="O55" s="300"/>
      <c r="P55" s="300"/>
    </row>
  </sheetData>
  <mergeCells count="14">
    <mergeCell ref="I55:P55"/>
    <mergeCell ref="A1:B1"/>
    <mergeCell ref="A2:B2"/>
    <mergeCell ref="N5:P5"/>
    <mergeCell ref="O1:P1"/>
    <mergeCell ref="A3:P3"/>
    <mergeCell ref="A4:P4"/>
    <mergeCell ref="A6:A7"/>
    <mergeCell ref="B6:B7"/>
    <mergeCell ref="C6:C7"/>
    <mergeCell ref="D6:D7"/>
    <mergeCell ref="E6:G6"/>
    <mergeCell ref="H6:O6"/>
    <mergeCell ref="P6:P7"/>
  </mergeCells>
  <pageMargins left="0.33" right="0.16" top="0.41" bottom="0.28999999999999998" header="0.3" footer="0.3"/>
  <pageSetup paperSize="9"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sqref="A1:B1"/>
    </sheetView>
  </sheetViews>
  <sheetFormatPr defaultRowHeight="15.75" x14ac:dyDescent="0.25"/>
  <cols>
    <col min="1" max="1" width="6.85546875" style="1" customWidth="1"/>
    <col min="2" max="2" width="64.85546875" style="1" customWidth="1"/>
    <col min="3" max="3" width="18" style="1" customWidth="1"/>
    <col min="4" max="256" width="9.140625" style="1"/>
    <col min="257" max="257" width="6.85546875" style="1" customWidth="1"/>
    <col min="258" max="258" width="63.28515625" style="1" customWidth="1"/>
    <col min="259" max="259" width="27.85546875" style="1" customWidth="1"/>
    <col min="260" max="512" width="9.140625" style="1"/>
    <col min="513" max="513" width="6.85546875" style="1" customWidth="1"/>
    <col min="514" max="514" width="63.28515625" style="1" customWidth="1"/>
    <col min="515" max="515" width="27.85546875" style="1" customWidth="1"/>
    <col min="516" max="768" width="9.140625" style="1"/>
    <col min="769" max="769" width="6.85546875" style="1" customWidth="1"/>
    <col min="770" max="770" width="63.28515625" style="1" customWidth="1"/>
    <col min="771" max="771" width="27.85546875" style="1" customWidth="1"/>
    <col min="772" max="1024" width="9.140625" style="1"/>
    <col min="1025" max="1025" width="6.85546875" style="1" customWidth="1"/>
    <col min="1026" max="1026" width="63.28515625" style="1" customWidth="1"/>
    <col min="1027" max="1027" width="27.85546875" style="1" customWidth="1"/>
    <col min="1028" max="1280" width="9.140625" style="1"/>
    <col min="1281" max="1281" width="6.85546875" style="1" customWidth="1"/>
    <col min="1282" max="1282" width="63.28515625" style="1" customWidth="1"/>
    <col min="1283" max="1283" width="27.85546875" style="1" customWidth="1"/>
    <col min="1284" max="1536" width="9.140625" style="1"/>
    <col min="1537" max="1537" width="6.85546875" style="1" customWidth="1"/>
    <col min="1538" max="1538" width="63.28515625" style="1" customWidth="1"/>
    <col min="1539" max="1539" width="27.85546875" style="1" customWidth="1"/>
    <col min="1540" max="1792" width="9.140625" style="1"/>
    <col min="1793" max="1793" width="6.85546875" style="1" customWidth="1"/>
    <col min="1794" max="1794" width="63.28515625" style="1" customWidth="1"/>
    <col min="1795" max="1795" width="27.85546875" style="1" customWidth="1"/>
    <col min="1796" max="2048" width="9.140625" style="1"/>
    <col min="2049" max="2049" width="6.85546875" style="1" customWidth="1"/>
    <col min="2050" max="2050" width="63.28515625" style="1" customWidth="1"/>
    <col min="2051" max="2051" width="27.85546875" style="1" customWidth="1"/>
    <col min="2052" max="2304" width="9.140625" style="1"/>
    <col min="2305" max="2305" width="6.85546875" style="1" customWidth="1"/>
    <col min="2306" max="2306" width="63.28515625" style="1" customWidth="1"/>
    <col min="2307" max="2307" width="27.85546875" style="1" customWidth="1"/>
    <col min="2308" max="2560" width="9.140625" style="1"/>
    <col min="2561" max="2561" width="6.85546875" style="1" customWidth="1"/>
    <col min="2562" max="2562" width="63.28515625" style="1" customWidth="1"/>
    <col min="2563" max="2563" width="27.85546875" style="1" customWidth="1"/>
    <col min="2564" max="2816" width="9.140625" style="1"/>
    <col min="2817" max="2817" width="6.85546875" style="1" customWidth="1"/>
    <col min="2818" max="2818" width="63.28515625" style="1" customWidth="1"/>
    <col min="2819" max="2819" width="27.85546875" style="1" customWidth="1"/>
    <col min="2820" max="3072" width="9.140625" style="1"/>
    <col min="3073" max="3073" width="6.85546875" style="1" customWidth="1"/>
    <col min="3074" max="3074" width="63.28515625" style="1" customWidth="1"/>
    <col min="3075" max="3075" width="27.85546875" style="1" customWidth="1"/>
    <col min="3076" max="3328" width="9.140625" style="1"/>
    <col min="3329" max="3329" width="6.85546875" style="1" customWidth="1"/>
    <col min="3330" max="3330" width="63.28515625" style="1" customWidth="1"/>
    <col min="3331" max="3331" width="27.85546875" style="1" customWidth="1"/>
    <col min="3332" max="3584" width="9.140625" style="1"/>
    <col min="3585" max="3585" width="6.85546875" style="1" customWidth="1"/>
    <col min="3586" max="3586" width="63.28515625" style="1" customWidth="1"/>
    <col min="3587" max="3587" width="27.85546875" style="1" customWidth="1"/>
    <col min="3588" max="3840" width="9.140625" style="1"/>
    <col min="3841" max="3841" width="6.85546875" style="1" customWidth="1"/>
    <col min="3842" max="3842" width="63.28515625" style="1" customWidth="1"/>
    <col min="3843" max="3843" width="27.85546875" style="1" customWidth="1"/>
    <col min="3844" max="4096" width="9.140625" style="1"/>
    <col min="4097" max="4097" width="6.85546875" style="1" customWidth="1"/>
    <col min="4098" max="4098" width="63.28515625" style="1" customWidth="1"/>
    <col min="4099" max="4099" width="27.85546875" style="1" customWidth="1"/>
    <col min="4100" max="4352" width="9.140625" style="1"/>
    <col min="4353" max="4353" width="6.85546875" style="1" customWidth="1"/>
    <col min="4354" max="4354" width="63.28515625" style="1" customWidth="1"/>
    <col min="4355" max="4355" width="27.85546875" style="1" customWidth="1"/>
    <col min="4356" max="4608" width="9.140625" style="1"/>
    <col min="4609" max="4609" width="6.85546875" style="1" customWidth="1"/>
    <col min="4610" max="4610" width="63.28515625" style="1" customWidth="1"/>
    <col min="4611" max="4611" width="27.85546875" style="1" customWidth="1"/>
    <col min="4612" max="4864" width="9.140625" style="1"/>
    <col min="4865" max="4865" width="6.85546875" style="1" customWidth="1"/>
    <col min="4866" max="4866" width="63.28515625" style="1" customWidth="1"/>
    <col min="4867" max="4867" width="27.85546875" style="1" customWidth="1"/>
    <col min="4868" max="5120" width="9.140625" style="1"/>
    <col min="5121" max="5121" width="6.85546875" style="1" customWidth="1"/>
    <col min="5122" max="5122" width="63.28515625" style="1" customWidth="1"/>
    <col min="5123" max="5123" width="27.85546875" style="1" customWidth="1"/>
    <col min="5124" max="5376" width="9.140625" style="1"/>
    <col min="5377" max="5377" width="6.85546875" style="1" customWidth="1"/>
    <col min="5378" max="5378" width="63.28515625" style="1" customWidth="1"/>
    <col min="5379" max="5379" width="27.85546875" style="1" customWidth="1"/>
    <col min="5380" max="5632" width="9.140625" style="1"/>
    <col min="5633" max="5633" width="6.85546875" style="1" customWidth="1"/>
    <col min="5634" max="5634" width="63.28515625" style="1" customWidth="1"/>
    <col min="5635" max="5635" width="27.85546875" style="1" customWidth="1"/>
    <col min="5636" max="5888" width="9.140625" style="1"/>
    <col min="5889" max="5889" width="6.85546875" style="1" customWidth="1"/>
    <col min="5890" max="5890" width="63.28515625" style="1" customWidth="1"/>
    <col min="5891" max="5891" width="27.85546875" style="1" customWidth="1"/>
    <col min="5892" max="6144" width="9.140625" style="1"/>
    <col min="6145" max="6145" width="6.85546875" style="1" customWidth="1"/>
    <col min="6146" max="6146" width="63.28515625" style="1" customWidth="1"/>
    <col min="6147" max="6147" width="27.85546875" style="1" customWidth="1"/>
    <col min="6148" max="6400" width="9.140625" style="1"/>
    <col min="6401" max="6401" width="6.85546875" style="1" customWidth="1"/>
    <col min="6402" max="6402" width="63.28515625" style="1" customWidth="1"/>
    <col min="6403" max="6403" width="27.85546875" style="1" customWidth="1"/>
    <col min="6404" max="6656" width="9.140625" style="1"/>
    <col min="6657" max="6657" width="6.85546875" style="1" customWidth="1"/>
    <col min="6658" max="6658" width="63.28515625" style="1" customWidth="1"/>
    <col min="6659" max="6659" width="27.85546875" style="1" customWidth="1"/>
    <col min="6660" max="6912" width="9.140625" style="1"/>
    <col min="6913" max="6913" width="6.85546875" style="1" customWidth="1"/>
    <col min="6914" max="6914" width="63.28515625" style="1" customWidth="1"/>
    <col min="6915" max="6915" width="27.85546875" style="1" customWidth="1"/>
    <col min="6916" max="7168" width="9.140625" style="1"/>
    <col min="7169" max="7169" width="6.85546875" style="1" customWidth="1"/>
    <col min="7170" max="7170" width="63.28515625" style="1" customWidth="1"/>
    <col min="7171" max="7171" width="27.85546875" style="1" customWidth="1"/>
    <col min="7172" max="7424" width="9.140625" style="1"/>
    <col min="7425" max="7425" width="6.85546875" style="1" customWidth="1"/>
    <col min="7426" max="7426" width="63.28515625" style="1" customWidth="1"/>
    <col min="7427" max="7427" width="27.85546875" style="1" customWidth="1"/>
    <col min="7428" max="7680" width="9.140625" style="1"/>
    <col min="7681" max="7681" width="6.85546875" style="1" customWidth="1"/>
    <col min="7682" max="7682" width="63.28515625" style="1" customWidth="1"/>
    <col min="7683" max="7683" width="27.85546875" style="1" customWidth="1"/>
    <col min="7684" max="7936" width="9.140625" style="1"/>
    <col min="7937" max="7937" width="6.85546875" style="1" customWidth="1"/>
    <col min="7938" max="7938" width="63.28515625" style="1" customWidth="1"/>
    <col min="7939" max="7939" width="27.85546875" style="1" customWidth="1"/>
    <col min="7940" max="8192" width="9.140625" style="1"/>
    <col min="8193" max="8193" width="6.85546875" style="1" customWidth="1"/>
    <col min="8194" max="8194" width="63.28515625" style="1" customWidth="1"/>
    <col min="8195" max="8195" width="27.85546875" style="1" customWidth="1"/>
    <col min="8196" max="8448" width="9.140625" style="1"/>
    <col min="8449" max="8449" width="6.85546875" style="1" customWidth="1"/>
    <col min="8450" max="8450" width="63.28515625" style="1" customWidth="1"/>
    <col min="8451" max="8451" width="27.85546875" style="1" customWidth="1"/>
    <col min="8452" max="8704" width="9.140625" style="1"/>
    <col min="8705" max="8705" width="6.85546875" style="1" customWidth="1"/>
    <col min="8706" max="8706" width="63.28515625" style="1" customWidth="1"/>
    <col min="8707" max="8707" width="27.85546875" style="1" customWidth="1"/>
    <col min="8708" max="8960" width="9.140625" style="1"/>
    <col min="8961" max="8961" width="6.85546875" style="1" customWidth="1"/>
    <col min="8962" max="8962" width="63.28515625" style="1" customWidth="1"/>
    <col min="8963" max="8963" width="27.85546875" style="1" customWidth="1"/>
    <col min="8964" max="9216" width="9.140625" style="1"/>
    <col min="9217" max="9217" width="6.85546875" style="1" customWidth="1"/>
    <col min="9218" max="9218" width="63.28515625" style="1" customWidth="1"/>
    <col min="9219" max="9219" width="27.85546875" style="1" customWidth="1"/>
    <col min="9220" max="9472" width="9.140625" style="1"/>
    <col min="9473" max="9473" width="6.85546875" style="1" customWidth="1"/>
    <col min="9474" max="9474" width="63.28515625" style="1" customWidth="1"/>
    <col min="9475" max="9475" width="27.85546875" style="1" customWidth="1"/>
    <col min="9476" max="9728" width="9.140625" style="1"/>
    <col min="9729" max="9729" width="6.85546875" style="1" customWidth="1"/>
    <col min="9730" max="9730" width="63.28515625" style="1" customWidth="1"/>
    <col min="9731" max="9731" width="27.85546875" style="1" customWidth="1"/>
    <col min="9732" max="9984" width="9.140625" style="1"/>
    <col min="9985" max="9985" width="6.85546875" style="1" customWidth="1"/>
    <col min="9986" max="9986" width="63.28515625" style="1" customWidth="1"/>
    <col min="9987" max="9987" width="27.85546875" style="1" customWidth="1"/>
    <col min="9988" max="10240" width="9.140625" style="1"/>
    <col min="10241" max="10241" width="6.85546875" style="1" customWidth="1"/>
    <col min="10242" max="10242" width="63.28515625" style="1" customWidth="1"/>
    <col min="10243" max="10243" width="27.85546875" style="1" customWidth="1"/>
    <col min="10244" max="10496" width="9.140625" style="1"/>
    <col min="10497" max="10497" width="6.85546875" style="1" customWidth="1"/>
    <col min="10498" max="10498" width="63.28515625" style="1" customWidth="1"/>
    <col min="10499" max="10499" width="27.85546875" style="1" customWidth="1"/>
    <col min="10500" max="10752" width="9.140625" style="1"/>
    <col min="10753" max="10753" width="6.85546875" style="1" customWidth="1"/>
    <col min="10754" max="10754" width="63.28515625" style="1" customWidth="1"/>
    <col min="10755" max="10755" width="27.85546875" style="1" customWidth="1"/>
    <col min="10756" max="11008" width="9.140625" style="1"/>
    <col min="11009" max="11009" width="6.85546875" style="1" customWidth="1"/>
    <col min="11010" max="11010" width="63.28515625" style="1" customWidth="1"/>
    <col min="11011" max="11011" width="27.85546875" style="1" customWidth="1"/>
    <col min="11012" max="11264" width="9.140625" style="1"/>
    <col min="11265" max="11265" width="6.85546875" style="1" customWidth="1"/>
    <col min="11266" max="11266" width="63.28515625" style="1" customWidth="1"/>
    <col min="11267" max="11267" width="27.85546875" style="1" customWidth="1"/>
    <col min="11268" max="11520" width="9.140625" style="1"/>
    <col min="11521" max="11521" width="6.85546875" style="1" customWidth="1"/>
    <col min="11522" max="11522" width="63.28515625" style="1" customWidth="1"/>
    <col min="11523" max="11523" width="27.85546875" style="1" customWidth="1"/>
    <col min="11524" max="11776" width="9.140625" style="1"/>
    <col min="11777" max="11777" width="6.85546875" style="1" customWidth="1"/>
    <col min="11778" max="11778" width="63.28515625" style="1" customWidth="1"/>
    <col min="11779" max="11779" width="27.85546875" style="1" customWidth="1"/>
    <col min="11780" max="12032" width="9.140625" style="1"/>
    <col min="12033" max="12033" width="6.85546875" style="1" customWidth="1"/>
    <col min="12034" max="12034" width="63.28515625" style="1" customWidth="1"/>
    <col min="12035" max="12035" width="27.85546875" style="1" customWidth="1"/>
    <col min="12036" max="12288" width="9.140625" style="1"/>
    <col min="12289" max="12289" width="6.85546875" style="1" customWidth="1"/>
    <col min="12290" max="12290" width="63.28515625" style="1" customWidth="1"/>
    <col min="12291" max="12291" width="27.85546875" style="1" customWidth="1"/>
    <col min="12292" max="12544" width="9.140625" style="1"/>
    <col min="12545" max="12545" width="6.85546875" style="1" customWidth="1"/>
    <col min="12546" max="12546" width="63.28515625" style="1" customWidth="1"/>
    <col min="12547" max="12547" width="27.85546875" style="1" customWidth="1"/>
    <col min="12548" max="12800" width="9.140625" style="1"/>
    <col min="12801" max="12801" width="6.85546875" style="1" customWidth="1"/>
    <col min="12802" max="12802" width="63.28515625" style="1" customWidth="1"/>
    <col min="12803" max="12803" width="27.85546875" style="1" customWidth="1"/>
    <col min="12804" max="13056" width="9.140625" style="1"/>
    <col min="13057" max="13057" width="6.85546875" style="1" customWidth="1"/>
    <col min="13058" max="13058" width="63.28515625" style="1" customWidth="1"/>
    <col min="13059" max="13059" width="27.85546875" style="1" customWidth="1"/>
    <col min="13060" max="13312" width="9.140625" style="1"/>
    <col min="13313" max="13313" width="6.85546875" style="1" customWidth="1"/>
    <col min="13314" max="13314" width="63.28515625" style="1" customWidth="1"/>
    <col min="13315" max="13315" width="27.85546875" style="1" customWidth="1"/>
    <col min="13316" max="13568" width="9.140625" style="1"/>
    <col min="13569" max="13569" width="6.85546875" style="1" customWidth="1"/>
    <col min="13570" max="13570" width="63.28515625" style="1" customWidth="1"/>
    <col min="13571" max="13571" width="27.85546875" style="1" customWidth="1"/>
    <col min="13572" max="13824" width="9.140625" style="1"/>
    <col min="13825" max="13825" width="6.85546875" style="1" customWidth="1"/>
    <col min="13826" max="13826" width="63.28515625" style="1" customWidth="1"/>
    <col min="13827" max="13827" width="27.85546875" style="1" customWidth="1"/>
    <col min="13828" max="14080" width="9.140625" style="1"/>
    <col min="14081" max="14081" width="6.85546875" style="1" customWidth="1"/>
    <col min="14082" max="14082" width="63.28515625" style="1" customWidth="1"/>
    <col min="14083" max="14083" width="27.85546875" style="1" customWidth="1"/>
    <col min="14084" max="14336" width="9.140625" style="1"/>
    <col min="14337" max="14337" width="6.85546875" style="1" customWidth="1"/>
    <col min="14338" max="14338" width="63.28515625" style="1" customWidth="1"/>
    <col min="14339" max="14339" width="27.85546875" style="1" customWidth="1"/>
    <col min="14340" max="14592" width="9.140625" style="1"/>
    <col min="14593" max="14593" width="6.85546875" style="1" customWidth="1"/>
    <col min="14594" max="14594" width="63.28515625" style="1" customWidth="1"/>
    <col min="14595" max="14595" width="27.85546875" style="1" customWidth="1"/>
    <col min="14596" max="14848" width="9.140625" style="1"/>
    <col min="14849" max="14849" width="6.85546875" style="1" customWidth="1"/>
    <col min="14850" max="14850" width="63.28515625" style="1" customWidth="1"/>
    <col min="14851" max="14851" width="27.85546875" style="1" customWidth="1"/>
    <col min="14852" max="15104" width="9.140625" style="1"/>
    <col min="15105" max="15105" width="6.85546875" style="1" customWidth="1"/>
    <col min="15106" max="15106" width="63.28515625" style="1" customWidth="1"/>
    <col min="15107" max="15107" width="27.85546875" style="1" customWidth="1"/>
    <col min="15108" max="15360" width="9.140625" style="1"/>
    <col min="15361" max="15361" width="6.85546875" style="1" customWidth="1"/>
    <col min="15362" max="15362" width="63.28515625" style="1" customWidth="1"/>
    <col min="15363" max="15363" width="27.85546875" style="1" customWidth="1"/>
    <col min="15364" max="15616" width="9.140625" style="1"/>
    <col min="15617" max="15617" width="6.85546875" style="1" customWidth="1"/>
    <col min="15618" max="15618" width="63.28515625" style="1" customWidth="1"/>
    <col min="15619" max="15619" width="27.85546875" style="1" customWidth="1"/>
    <col min="15620" max="15872" width="9.140625" style="1"/>
    <col min="15873" max="15873" width="6.85546875" style="1" customWidth="1"/>
    <col min="15874" max="15874" width="63.28515625" style="1" customWidth="1"/>
    <col min="15875" max="15875" width="27.85546875" style="1" customWidth="1"/>
    <col min="15876" max="16128" width="9.140625" style="1"/>
    <col min="16129" max="16129" width="6.85546875" style="1" customWidth="1"/>
    <col min="16130" max="16130" width="63.28515625" style="1" customWidth="1"/>
    <col min="16131" max="16131" width="27.85546875" style="1" customWidth="1"/>
    <col min="16132" max="16384" width="9.140625" style="1"/>
  </cols>
  <sheetData>
    <row r="1" spans="1:4" x14ac:dyDescent="0.25">
      <c r="A1" s="298" t="s">
        <v>291</v>
      </c>
      <c r="B1" s="298"/>
      <c r="C1" s="129" t="s">
        <v>563</v>
      </c>
      <c r="D1" s="10"/>
    </row>
    <row r="2" spans="1:4" x14ac:dyDescent="0.25">
      <c r="A2" s="2" t="s">
        <v>1</v>
      </c>
      <c r="C2" s="217"/>
    </row>
    <row r="4" spans="1:4" ht="37.5" customHeight="1" x14ac:dyDescent="0.25">
      <c r="A4" s="304" t="s">
        <v>552</v>
      </c>
      <c r="B4" s="305"/>
      <c r="C4" s="305"/>
    </row>
    <row r="5" spans="1:4" x14ac:dyDescent="0.25">
      <c r="A5" s="306" t="str">
        <f>'chi tiet cac truong'!A4:P4</f>
        <v>(Kèm theo Nghị quyết số            /NQ-HĐND ngày          /12/2022 của HĐND huyện Nghi Xuân)</v>
      </c>
      <c r="B5" s="258"/>
      <c r="C5" s="258"/>
    </row>
    <row r="6" spans="1:4" x14ac:dyDescent="0.25">
      <c r="A6" s="142"/>
      <c r="B6" s="142"/>
      <c r="C6" s="142"/>
    </row>
    <row r="7" spans="1:4" x14ac:dyDescent="0.25">
      <c r="A7" s="217"/>
      <c r="B7" s="307" t="s">
        <v>257</v>
      </c>
      <c r="C7" s="307"/>
    </row>
    <row r="8" spans="1:4" s="2" customFormat="1" x14ac:dyDescent="0.25">
      <c r="A8" s="13" t="s">
        <v>2</v>
      </c>
      <c r="B8" s="13" t="s">
        <v>379</v>
      </c>
      <c r="C8" s="13" t="s">
        <v>553</v>
      </c>
    </row>
    <row r="9" spans="1:4" ht="31.5" x14ac:dyDescent="0.25">
      <c r="A9" s="218">
        <v>1</v>
      </c>
      <c r="B9" s="219" t="s">
        <v>469</v>
      </c>
      <c r="C9" s="220">
        <f>475000-'[2]toan nganh'!J19</f>
        <v>223000</v>
      </c>
    </row>
    <row r="10" spans="1:4" ht="31.5" x14ac:dyDescent="0.25">
      <c r="A10" s="221">
        <v>2</v>
      </c>
      <c r="B10" s="222" t="s">
        <v>554</v>
      </c>
      <c r="C10" s="223">
        <f>1603000+123000+50000+89000-354000-'[2]toan nganh'!K19-'[2]toan nganh'!L19</f>
        <v>864530</v>
      </c>
    </row>
    <row r="11" spans="1:4" ht="31.5" x14ac:dyDescent="0.25">
      <c r="A11" s="221">
        <v>3</v>
      </c>
      <c r="B11" s="222" t="s">
        <v>472</v>
      </c>
      <c r="C11" s="223">
        <f>692000-'[2]toan nganh'!M19</f>
        <v>223200</v>
      </c>
    </row>
    <row r="12" spans="1:4" ht="31.5" x14ac:dyDescent="0.25">
      <c r="A12" s="221">
        <v>4</v>
      </c>
      <c r="B12" s="222" t="s">
        <v>555</v>
      </c>
      <c r="C12" s="223">
        <v>516000</v>
      </c>
    </row>
    <row r="13" spans="1:4" x14ac:dyDescent="0.25">
      <c r="A13" s="221">
        <v>5</v>
      </c>
      <c r="B13" s="222" t="s">
        <v>556</v>
      </c>
      <c r="C13" s="223">
        <f>2814000-795000-'[2]toan nganh'!G19</f>
        <v>338796</v>
      </c>
    </row>
    <row r="14" spans="1:4" x14ac:dyDescent="0.25">
      <c r="A14" s="221">
        <v>6</v>
      </c>
      <c r="B14" s="222" t="s">
        <v>557</v>
      </c>
      <c r="C14" s="223">
        <v>1271000</v>
      </c>
    </row>
    <row r="15" spans="1:4" x14ac:dyDescent="0.25">
      <c r="A15" s="221">
        <v>7</v>
      </c>
      <c r="B15" s="222" t="s">
        <v>558</v>
      </c>
      <c r="C15" s="223">
        <v>304000</v>
      </c>
    </row>
    <row r="16" spans="1:4" x14ac:dyDescent="0.25">
      <c r="A16" s="221">
        <v>8</v>
      </c>
      <c r="B16" s="222" t="s">
        <v>559</v>
      </c>
      <c r="C16" s="223">
        <v>4513000</v>
      </c>
      <c r="D16" s="133"/>
    </row>
    <row r="17" spans="1:3" ht="94.5" x14ac:dyDescent="0.25">
      <c r="A17" s="221">
        <v>9</v>
      </c>
      <c r="B17" s="222" t="s">
        <v>560</v>
      </c>
      <c r="C17" s="223">
        <v>5136197</v>
      </c>
    </row>
    <row r="18" spans="1:3" ht="31.5" x14ac:dyDescent="0.25">
      <c r="A18" s="221">
        <v>10</v>
      </c>
      <c r="B18" s="222" t="s">
        <v>561</v>
      </c>
      <c r="C18" s="223">
        <f>15000000+7500000</f>
        <v>22500000</v>
      </c>
    </row>
    <row r="19" spans="1:3" x14ac:dyDescent="0.25">
      <c r="A19" s="13"/>
      <c r="B19" s="13" t="s">
        <v>278</v>
      </c>
      <c r="C19" s="29">
        <f>SUM(C9:C18)</f>
        <v>35889723</v>
      </c>
    </row>
    <row r="20" spans="1:3" s="227" customFormat="1" x14ac:dyDescent="0.25">
      <c r="A20" s="224"/>
      <c r="B20" s="225"/>
      <c r="C20" s="226"/>
    </row>
  </sheetData>
  <mergeCells count="4">
    <mergeCell ref="A4:C4"/>
    <mergeCell ref="A1:B1"/>
    <mergeCell ref="A5:C5"/>
    <mergeCell ref="B7:C7"/>
  </mergeCells>
  <pageMargins left="0.56000000000000005" right="0.28000000000000003"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thu</vt:lpstr>
      <vt:lpstr>Thu chi tiet</vt:lpstr>
      <vt:lpstr>chi</vt:lpstr>
      <vt:lpstr>thu chi tiet xa</vt:lpstr>
      <vt:lpstr>tong thu xa thi</vt:lpstr>
      <vt:lpstr>chi ns xa thi</vt:lpstr>
      <vt:lpstr>Giao duc</vt:lpstr>
      <vt:lpstr>chi tiet cac truong</vt:lpstr>
      <vt:lpstr>Chưa phan bo Gduc</vt:lpstr>
      <vt:lpstr>Sheet2</vt:lpstr>
      <vt:lpstr>chi!Print_Area</vt:lpstr>
      <vt:lpstr>'Chưa phan bo Gduc'!Print_Area</vt:lpstr>
      <vt:lpstr>thu!Print_Area</vt:lpstr>
      <vt:lpstr>'Thu chi tiet'!Print_Area</vt:lpstr>
      <vt:lpstr>chi!Print_Titles</vt:lpstr>
      <vt:lpstr>'chi tiet cac truong'!Print_Titles</vt:lpstr>
      <vt:lpstr>thu!Print_Titles</vt:lpstr>
      <vt:lpstr>'Thu chi tiet'!Print_Titles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2022-12-20T09:20:49Z</dcterms:modified>
</cp:coreProperties>
</file>